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20" yWindow="6945" windowWidth="25230" windowHeight="5700" tabRatio="983" firstSheet="1" activeTab="5"/>
  </bookViews>
  <sheets>
    <sheet name="Wyłączenia WPF" sheetId="12" r:id="rId1"/>
    <sheet name="Tabela nr 6" sheetId="1" r:id="rId2"/>
    <sheet name="Tab. 6A -Drogi" sheetId="2" r:id="rId3"/>
    <sheet name="Tab. 6B Polit społ i rozwój prz" sheetId="3" r:id="rId4"/>
    <sheet name="Tab. 6C - Ochrona zdrowia" sheetId="4" r:id="rId5"/>
    <sheet name="Tab. 6D - Oświata" sheetId="5" r:id="rId6"/>
    <sheet name="Tab. 6E - Administracja" sheetId="6" r:id="rId7"/>
    <sheet name="Tab. 6F - Kultura" sheetId="7" r:id="rId8"/>
    <sheet name="Tab. 6G - Roln i ochrona środ." sheetId="8" r:id="rId9"/>
    <sheet name="Tab. 6H - Kultura fiz. i turyst" sheetId="9" r:id="rId10"/>
    <sheet name="Tab.6I - Planow. przestrz." sheetId="13" r:id="rId11"/>
    <sheet name="projekty UE" sheetId="10" r:id="rId12"/>
  </sheets>
  <externalReferences>
    <externalReference r:id="rId13"/>
    <externalReference r:id="rId14"/>
    <externalReference r:id="rId15"/>
    <externalReference r:id="rId16"/>
  </externalReferences>
  <definedNames>
    <definedName name="_xlnm._FilterDatabase" localSheetId="2" hidden="1">'Tab. 6A -Drogi'!$A$12:$EK$448</definedName>
    <definedName name="_xlnm._FilterDatabase" localSheetId="3" hidden="1">'Tab. 6B Polit społ i rozwój prz'!#REF!</definedName>
    <definedName name="_xlnm._FilterDatabase" localSheetId="8" hidden="1">'Tab. 6G - Roln i ochrona środ.'!$A$4:$Y$179</definedName>
    <definedName name="_xlnm.Print_Area" localSheetId="2">'Tab. 6A -Drogi'!$A$1:$Y$537</definedName>
    <definedName name="_xlnm.Print_Area" localSheetId="3">'Tab. 6B Polit społ i rozwój prz'!$A$1:$Y$208</definedName>
    <definedName name="_xlnm.Print_Area" localSheetId="4">'Tab. 6C - Ochrona zdrowia'!$A$1:$Y$133</definedName>
    <definedName name="_xlnm.Print_Area" localSheetId="5">'Tab. 6D - Oświata'!$A$1:$Y$106</definedName>
    <definedName name="_xlnm.Print_Area" localSheetId="6">'Tab. 6E - Administracja'!$A$1:$Y$271</definedName>
    <definedName name="_xlnm.Print_Area" localSheetId="7">'Tab. 6F - Kultura'!$A$1:$Y$92</definedName>
    <definedName name="_xlnm.Print_Area" localSheetId="8">'Tab. 6G - Roln i ochrona środ.'!$A$1:$Y$224</definedName>
    <definedName name="_xlnm.Print_Area" localSheetId="9">'Tab. 6H - Kultura fiz. i turyst'!$A$1:$Y$144</definedName>
    <definedName name="_xlnm.Print_Area" localSheetId="1">'Tabela nr 6'!$A$1:$V$92</definedName>
    <definedName name="_xlnm.Print_Area" localSheetId="0">'Wyłączenia WPF'!$A$1:$P$67</definedName>
    <definedName name="_xlnm.Print_Titles" localSheetId="2">'Tab. 6A -Drogi'!$5:$8</definedName>
    <definedName name="_xlnm.Print_Titles" localSheetId="3">'Tab. 6B Polit społ i rozwój prz'!$4:$7</definedName>
    <definedName name="_xlnm.Print_Titles" localSheetId="4">'Tab. 6C - Ochrona zdrowia'!$6:$9</definedName>
    <definedName name="_xlnm.Print_Titles" localSheetId="5">'Tab. 6D - Oświata'!$6:$9</definedName>
    <definedName name="_xlnm.Print_Titles" localSheetId="6">'Tab. 6E - Administracja'!$6:$9</definedName>
    <definedName name="_xlnm.Print_Titles" localSheetId="7">'Tab. 6F - Kultura'!$4:$7</definedName>
    <definedName name="_xlnm.Print_Titles" localSheetId="8">'Tab. 6G - Roln i ochrona środ.'!$5:$8</definedName>
    <definedName name="_xlnm.Print_Titles" localSheetId="9">'Tab. 6H - Kultura fiz. i turyst'!$4:$7</definedName>
    <definedName name="_xlnm.Print_Titles" localSheetId="10">'Tab.6I - Planow. przestrz.'!$5:$8</definedName>
    <definedName name="_xlnm.Print_Titles" localSheetId="0">'Wyłączenia WPF'!$4:$8</definedName>
  </definedNames>
  <calcPr calcId="145621"/>
</workbook>
</file>

<file path=xl/calcChain.xml><?xml version="1.0" encoding="utf-8"?>
<calcChain xmlns="http://schemas.openxmlformats.org/spreadsheetml/2006/main">
  <c r="W302" i="6" l="1"/>
  <c r="V302" i="6"/>
  <c r="U302" i="6"/>
  <c r="T302" i="6"/>
  <c r="S302" i="6"/>
  <c r="R302" i="6"/>
  <c r="Q302" i="6"/>
  <c r="P302" i="6"/>
  <c r="O302" i="6"/>
  <c r="D302" i="6"/>
  <c r="W301" i="6"/>
  <c r="V301" i="6"/>
  <c r="U301" i="6"/>
  <c r="T301" i="6"/>
  <c r="S301" i="6"/>
  <c r="R301" i="6"/>
  <c r="Q301" i="6"/>
  <c r="P301" i="6"/>
  <c r="D301" i="6"/>
  <c r="T546" i="2" l="1"/>
  <c r="S546" i="2"/>
  <c r="R546" i="2"/>
  <c r="Q546" i="2"/>
  <c r="P546" i="2"/>
  <c r="T543" i="2"/>
  <c r="S543" i="2"/>
  <c r="R543" i="2"/>
  <c r="Q543" i="2"/>
  <c r="P543" i="2"/>
  <c r="T542" i="2"/>
  <c r="S542" i="2"/>
  <c r="R542" i="2"/>
  <c r="Q542" i="2"/>
  <c r="P542" i="2"/>
  <c r="X79" i="9" l="1"/>
  <c r="X114" i="6"/>
  <c r="D363" i="2" l="1"/>
  <c r="D364" i="2"/>
  <c r="M305" i="2"/>
  <c r="M352" i="2"/>
  <c r="P361" i="2"/>
  <c r="S361" i="2"/>
  <c r="R361" i="2"/>
  <c r="Q361" i="2"/>
  <c r="P356" i="2"/>
  <c r="S356" i="2"/>
  <c r="R356" i="2"/>
  <c r="Q356" i="2"/>
  <c r="D359" i="2"/>
  <c r="D358" i="2"/>
  <c r="D76" i="6"/>
  <c r="D62" i="6"/>
  <c r="D361" i="2" l="1"/>
  <c r="D356" i="2"/>
  <c r="P355" i="2"/>
  <c r="D355" i="2"/>
  <c r="Z20" i="5"/>
  <c r="Z23" i="8"/>
  <c r="N428" i="2"/>
  <c r="K189" i="8"/>
  <c r="L189" i="8"/>
  <c r="K190" i="8"/>
  <c r="L190" i="8"/>
  <c r="K195" i="8"/>
  <c r="L195" i="8"/>
  <c r="K196" i="8"/>
  <c r="L196" i="8"/>
  <c r="U225" i="1"/>
  <c r="T225" i="1"/>
  <c r="W85" i="1" l="1"/>
  <c r="Z119" i="4"/>
  <c r="O529" i="2"/>
  <c r="D161" i="6"/>
  <c r="Z47" i="9"/>
  <c r="E232" i="6"/>
  <c r="F232" i="6"/>
  <c r="G232" i="6"/>
  <c r="H232" i="6"/>
  <c r="I232" i="6"/>
  <c r="J232" i="6"/>
  <c r="K232" i="6"/>
  <c r="L232" i="6"/>
  <c r="N232" i="6"/>
  <c r="O232" i="6"/>
  <c r="P232" i="6"/>
  <c r="Q232" i="6"/>
  <c r="R232" i="6"/>
  <c r="E10" i="2"/>
  <c r="F10" i="2"/>
  <c r="G10" i="2"/>
  <c r="H10" i="2"/>
  <c r="I10" i="2"/>
  <c r="J10" i="2"/>
  <c r="K10" i="2"/>
  <c r="L10" i="2"/>
  <c r="M10" i="2"/>
  <c r="N10" i="2"/>
  <c r="O10" i="2"/>
  <c r="T10" i="2"/>
  <c r="U10" i="2"/>
  <c r="V10" i="2"/>
  <c r="W10" i="2"/>
  <c r="N22" i="1"/>
  <c r="O22" i="1"/>
  <c r="P22" i="1"/>
  <c r="Q22" i="1"/>
  <c r="R22" i="1"/>
  <c r="S22" i="1"/>
  <c r="T22" i="1"/>
  <c r="M22" i="1"/>
  <c r="K22" i="1"/>
  <c r="L22" i="1"/>
  <c r="J22" i="1"/>
  <c r="J49" i="1"/>
  <c r="M17" i="6"/>
  <c r="D17" i="6"/>
  <c r="D159" i="6"/>
  <c r="X17" i="2"/>
  <c r="M41" i="2"/>
  <c r="M17" i="2"/>
  <c r="R38" i="2"/>
  <c r="X41" i="2"/>
  <c r="X317" i="2"/>
  <c r="X318" i="2"/>
  <c r="X315" i="2"/>
  <c r="X314" i="2"/>
  <c r="X305" i="2"/>
  <c r="X300" i="2"/>
  <c r="X301" i="2"/>
  <c r="X304" i="2"/>
  <c r="X303" i="2"/>
  <c r="V22" i="1" l="1"/>
  <c r="X22" i="1"/>
  <c r="X313" i="2"/>
  <c r="X312" i="2" s="1"/>
  <c r="U22" i="1"/>
  <c r="Y22" i="1" s="1"/>
  <c r="W23" i="6" l="1"/>
  <c r="V23" i="6"/>
  <c r="U23" i="6"/>
  <c r="T23" i="6"/>
  <c r="S23" i="6"/>
  <c r="R23" i="6"/>
  <c r="Q23" i="6"/>
  <c r="P23" i="6"/>
  <c r="O23" i="6"/>
  <c r="W16" i="6"/>
  <c r="V16" i="6"/>
  <c r="U16" i="6"/>
  <c r="T16" i="6"/>
  <c r="S16" i="6"/>
  <c r="R16" i="6"/>
  <c r="Q16" i="6"/>
  <c r="N19" i="1" s="1"/>
  <c r="P16" i="6"/>
  <c r="O16" i="6"/>
  <c r="X233" i="6"/>
  <c r="D235" i="6"/>
  <c r="D233" i="6"/>
  <c r="E299" i="6"/>
  <c r="F299" i="6"/>
  <c r="G299" i="6"/>
  <c r="H299" i="6"/>
  <c r="I299" i="6"/>
  <c r="J299" i="6"/>
  <c r="K299" i="6"/>
  <c r="L299" i="6"/>
  <c r="M299" i="6"/>
  <c r="N299" i="6"/>
  <c r="O299" i="6"/>
  <c r="V298" i="6"/>
  <c r="V297" i="6"/>
  <c r="U298" i="6"/>
  <c r="U297" i="6"/>
  <c r="T298" i="6"/>
  <c r="T297" i="6"/>
  <c r="S298" i="6"/>
  <c r="S297" i="6"/>
  <c r="R298" i="6"/>
  <c r="R297" i="6"/>
  <c r="Q298" i="6"/>
  <c r="Q297" i="6"/>
  <c r="P298" i="6"/>
  <c r="P297" i="6"/>
  <c r="M242" i="6"/>
  <c r="D242" i="6" s="1"/>
  <c r="D241" i="6" s="1"/>
  <c r="R241" i="6"/>
  <c r="Q241" i="6"/>
  <c r="P241" i="6"/>
  <c r="O241" i="6"/>
  <c r="N241" i="6"/>
  <c r="L241" i="6"/>
  <c r="K241" i="6"/>
  <c r="J241" i="6"/>
  <c r="I241" i="6"/>
  <c r="H241" i="6"/>
  <c r="G241" i="6"/>
  <c r="F241" i="6"/>
  <c r="E241" i="6"/>
  <c r="M240" i="6"/>
  <c r="D240" i="6" s="1"/>
  <c r="D239" i="6" s="1"/>
  <c r="D238" i="6" s="1"/>
  <c r="R239" i="6"/>
  <c r="Q239" i="6"/>
  <c r="Q238" i="6" s="1"/>
  <c r="P239" i="6"/>
  <c r="O239" i="6"/>
  <c r="O238" i="6" s="1"/>
  <c r="N239" i="6"/>
  <c r="M239" i="6"/>
  <c r="L239" i="6"/>
  <c r="K239" i="6"/>
  <c r="K238" i="6" s="1"/>
  <c r="J239" i="6"/>
  <c r="I239" i="6"/>
  <c r="I238" i="6" s="1"/>
  <c r="H239" i="6"/>
  <c r="G239" i="6"/>
  <c r="G238" i="6" s="1"/>
  <c r="F239" i="6"/>
  <c r="E239" i="6"/>
  <c r="E238" i="6" s="1"/>
  <c r="R238" i="6"/>
  <c r="P238" i="6"/>
  <c r="N238" i="6"/>
  <c r="L238" i="6"/>
  <c r="J238" i="6"/>
  <c r="H238" i="6"/>
  <c r="F238" i="6"/>
  <c r="X237" i="6"/>
  <c r="X236" i="6" s="1"/>
  <c r="M237" i="6"/>
  <c r="D237" i="6" s="1"/>
  <c r="R236" i="6"/>
  <c r="R231" i="6" s="1"/>
  <c r="Q236" i="6"/>
  <c r="Q231" i="6" s="1"/>
  <c r="P236" i="6"/>
  <c r="O236" i="6"/>
  <c r="O231" i="6" s="1"/>
  <c r="N236" i="6"/>
  <c r="M236" i="6"/>
  <c r="L236" i="6"/>
  <c r="K236" i="6"/>
  <c r="K231" i="6" s="1"/>
  <c r="J236" i="6"/>
  <c r="I236" i="6"/>
  <c r="I231" i="6" s="1"/>
  <c r="H236" i="6"/>
  <c r="G236" i="6"/>
  <c r="G231" i="6" s="1"/>
  <c r="F236" i="6"/>
  <c r="E236" i="6"/>
  <c r="E231" i="6" s="1"/>
  <c r="X234" i="6"/>
  <c r="M234" i="6"/>
  <c r="D234" i="6" s="1"/>
  <c r="P231" i="6"/>
  <c r="N231" i="6"/>
  <c r="L231" i="6"/>
  <c r="J231" i="6"/>
  <c r="H231" i="6"/>
  <c r="F231" i="6"/>
  <c r="D236" i="6" l="1"/>
  <c r="X232" i="6"/>
  <c r="M232" i="6"/>
  <c r="M231" i="6" s="1"/>
  <c r="D232" i="6"/>
  <c r="D231" i="6" s="1"/>
  <c r="Q299" i="6"/>
  <c r="R299" i="6"/>
  <c r="S299" i="6"/>
  <c r="T299" i="6"/>
  <c r="X231" i="6"/>
  <c r="U299" i="6"/>
  <c r="P299" i="6"/>
  <c r="V299" i="6"/>
  <c r="M241" i="6"/>
  <c r="M238" i="6" s="1"/>
  <c r="Q333" i="2"/>
  <c r="Q330" i="2"/>
  <c r="E13" i="7" l="1"/>
  <c r="F13" i="7"/>
  <c r="G13" i="7"/>
  <c r="H13" i="7"/>
  <c r="I13" i="7"/>
  <c r="J13" i="7"/>
  <c r="K13" i="7"/>
  <c r="L13" i="7"/>
  <c r="M13" i="7"/>
  <c r="N13" i="7"/>
  <c r="O13" i="7"/>
  <c r="D13" i="7"/>
  <c r="D81" i="7"/>
  <c r="O90" i="7"/>
  <c r="O85" i="7"/>
  <c r="O83" i="7"/>
  <c r="J81" i="7"/>
  <c r="M82" i="7"/>
  <c r="D82" i="7" s="1"/>
  <c r="P54" i="7"/>
  <c r="O54" i="7"/>
  <c r="P52" i="7"/>
  <c r="O52" i="7"/>
  <c r="P49" i="7"/>
  <c r="O49" i="7"/>
  <c r="O47" i="7"/>
  <c r="O196" i="3"/>
  <c r="O191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D13" i="3"/>
  <c r="O184" i="3"/>
  <c r="O179" i="3"/>
  <c r="X164" i="3"/>
  <c r="M164" i="3"/>
  <c r="O172" i="3"/>
  <c r="O170" i="3"/>
  <c r="O167" i="3"/>
  <c r="O165" i="3"/>
  <c r="T328" i="2" l="1"/>
  <c r="Q328" i="2"/>
  <c r="R328" i="2"/>
  <c r="S328" i="2"/>
  <c r="P328" i="2"/>
  <c r="R330" i="2"/>
  <c r="S330" i="2"/>
  <c r="S20" i="2" s="1"/>
  <c r="P330" i="2"/>
  <c r="R333" i="2"/>
  <c r="S333" i="2"/>
  <c r="T333" i="2"/>
  <c r="P333" i="2"/>
  <c r="X361" i="2"/>
  <c r="X360" i="2" s="1"/>
  <c r="X356" i="2"/>
  <c r="D360" i="2"/>
  <c r="D367" i="2"/>
  <c r="Q355" i="2"/>
  <c r="R355" i="2"/>
  <c r="S355" i="2"/>
  <c r="Q360" i="2"/>
  <c r="R360" i="2"/>
  <c r="S360" i="2"/>
  <c r="P360" i="2"/>
  <c r="P354" i="2" s="1"/>
  <c r="R366" i="2"/>
  <c r="R365" i="2" s="1"/>
  <c r="S366" i="2"/>
  <c r="S365" i="2" s="1"/>
  <c r="Q366" i="2"/>
  <c r="Q365" i="2" s="1"/>
  <c r="Q354" i="2" l="1"/>
  <c r="Q10" i="2" s="1"/>
  <c r="R354" i="2"/>
  <c r="R10" i="2" s="1"/>
  <c r="Z367" i="2"/>
  <c r="S354" i="2"/>
  <c r="S10" i="2" s="1"/>
  <c r="X355" i="2"/>
  <c r="X354" i="2" s="1"/>
  <c r="P10" i="2"/>
  <c r="X10" i="2" s="1"/>
  <c r="D354" i="2"/>
  <c r="D10" i="2" s="1"/>
  <c r="D365" i="2"/>
  <c r="D366" i="2"/>
  <c r="Q203" i="3"/>
  <c r="O203" i="3"/>
  <c r="Q200" i="3"/>
  <c r="O200" i="3"/>
  <c r="N28" i="3"/>
  <c r="O25" i="3"/>
  <c r="P148" i="3"/>
  <c r="O148" i="3"/>
  <c r="P143" i="3"/>
  <c r="O143" i="3"/>
  <c r="P140" i="3"/>
  <c r="O140" i="3"/>
  <c r="O124" i="3"/>
  <c r="O119" i="3"/>
  <c r="O116" i="3"/>
  <c r="O100" i="3"/>
  <c r="O95" i="3"/>
  <c r="O92" i="3"/>
  <c r="O88" i="3"/>
  <c r="O86" i="3"/>
  <c r="O83" i="3"/>
  <c r="O81" i="3"/>
  <c r="O80" i="3"/>
  <c r="O76" i="3"/>
  <c r="O74" i="3"/>
  <c r="O71" i="3"/>
  <c r="O69" i="3"/>
  <c r="O68" i="3"/>
  <c r="O50" i="8" l="1"/>
  <c r="O46" i="8"/>
  <c r="O42" i="8"/>
  <c r="O38" i="8"/>
  <c r="Q84" i="8"/>
  <c r="P89" i="8"/>
  <c r="O89" i="8"/>
  <c r="P86" i="8"/>
  <c r="O86" i="8"/>
  <c r="P84" i="8"/>
  <c r="O84" i="8"/>
  <c r="P76" i="8"/>
  <c r="O76" i="8"/>
  <c r="P73" i="8"/>
  <c r="O73" i="8"/>
  <c r="P72" i="8"/>
  <c r="P71" i="8"/>
  <c r="O71" i="8"/>
  <c r="E49" i="2"/>
  <c r="F49" i="2"/>
  <c r="G49" i="2"/>
  <c r="H49" i="2"/>
  <c r="I49" i="2"/>
  <c r="J49" i="2"/>
  <c r="K49" i="2"/>
  <c r="L49" i="2"/>
  <c r="N49" i="2"/>
  <c r="O49" i="2"/>
  <c r="P49" i="2"/>
  <c r="Q49" i="2"/>
  <c r="R49" i="2"/>
  <c r="S49" i="2"/>
  <c r="T49" i="2"/>
  <c r="U49" i="2"/>
  <c r="V49" i="2"/>
  <c r="W49" i="2"/>
  <c r="E41" i="2"/>
  <c r="F41" i="2"/>
  <c r="G41" i="2"/>
  <c r="H41" i="2"/>
  <c r="I41" i="2"/>
  <c r="J41" i="2"/>
  <c r="K41" i="2"/>
  <c r="L41" i="2"/>
  <c r="N41" i="2"/>
  <c r="O41" i="2"/>
  <c r="P41" i="2"/>
  <c r="Q41" i="2"/>
  <c r="R41" i="2"/>
  <c r="S41" i="2"/>
  <c r="T41" i="2"/>
  <c r="U41" i="2"/>
  <c r="V41" i="2"/>
  <c r="W41" i="2"/>
  <c r="Q323" i="2"/>
  <c r="R323" i="2"/>
  <c r="M321" i="2"/>
  <c r="D321" i="2" s="1"/>
  <c r="D315" i="2"/>
  <c r="Q317" i="2"/>
  <c r="R317" i="2"/>
  <c r="F320" i="2"/>
  <c r="G320" i="2"/>
  <c r="H320" i="2"/>
  <c r="I320" i="2"/>
  <c r="J320" i="2"/>
  <c r="K320" i="2"/>
  <c r="L320" i="2"/>
  <c r="N320" i="2"/>
  <c r="O320" i="2"/>
  <c r="P320" i="2"/>
  <c r="Q320" i="2"/>
  <c r="Q319" i="2" s="1"/>
  <c r="R320" i="2"/>
  <c r="F313" i="2"/>
  <c r="G313" i="2"/>
  <c r="H313" i="2"/>
  <c r="I313" i="2"/>
  <c r="J313" i="2"/>
  <c r="K313" i="2"/>
  <c r="L313" i="2"/>
  <c r="N313" i="2"/>
  <c r="O313" i="2"/>
  <c r="P313" i="2"/>
  <c r="Q313" i="2"/>
  <c r="Q312" i="2" s="1"/>
  <c r="R313" i="2"/>
  <c r="Q309" i="2"/>
  <c r="E307" i="2"/>
  <c r="F307" i="2"/>
  <c r="G307" i="2"/>
  <c r="H307" i="2"/>
  <c r="I307" i="2"/>
  <c r="J307" i="2"/>
  <c r="K307" i="2"/>
  <c r="L307" i="2"/>
  <c r="M307" i="2"/>
  <c r="N307" i="2"/>
  <c r="O307" i="2"/>
  <c r="P307" i="2"/>
  <c r="Q307" i="2"/>
  <c r="P301" i="2"/>
  <c r="O301" i="2"/>
  <c r="N301" i="2"/>
  <c r="M301" i="2"/>
  <c r="K301" i="2"/>
  <c r="J301" i="2"/>
  <c r="I301" i="2"/>
  <c r="H301" i="2"/>
  <c r="G301" i="2"/>
  <c r="F301" i="2"/>
  <c r="Q301" i="2"/>
  <c r="Q304" i="2"/>
  <c r="Q300" i="2" s="1"/>
  <c r="D308" i="2"/>
  <c r="D307" i="2" s="1"/>
  <c r="D303" i="2"/>
  <c r="D302" i="2"/>
  <c r="Q306" i="2"/>
  <c r="O122" i="2"/>
  <c r="O120" i="2"/>
  <c r="O114" i="2"/>
  <c r="P230" i="2"/>
  <c r="O230" i="2"/>
  <c r="P226" i="2"/>
  <c r="O226" i="2"/>
  <c r="P255" i="2"/>
  <c r="P250" i="2"/>
  <c r="O255" i="2"/>
  <c r="O250" i="2"/>
  <c r="K96" i="2"/>
  <c r="K92" i="2"/>
  <c r="K89" i="2"/>
  <c r="K85" i="2"/>
  <c r="K84" i="2"/>
  <c r="O84" i="2"/>
  <c r="P84" i="2"/>
  <c r="O56" i="2"/>
  <c r="P191" i="2"/>
  <c r="P196" i="2"/>
  <c r="O196" i="2"/>
  <c r="O193" i="2"/>
  <c r="O191" i="2"/>
  <c r="N193" i="2"/>
  <c r="N191" i="2"/>
  <c r="P269" i="2"/>
  <c r="P266" i="2"/>
  <c r="O269" i="2"/>
  <c r="O266" i="2"/>
  <c r="P100" i="2"/>
  <c r="O100" i="2"/>
  <c r="P159" i="2"/>
  <c r="O159" i="2"/>
  <c r="R319" i="2" l="1"/>
  <c r="R312" i="2"/>
  <c r="D301" i="2"/>
  <c r="Q525" i="2"/>
  <c r="O526" i="2"/>
  <c r="O525" i="2"/>
  <c r="O533" i="2"/>
  <c r="O537" i="2"/>
  <c r="O476" i="2"/>
  <c r="R280" i="2"/>
  <c r="R277" i="2"/>
  <c r="Q278" i="2"/>
  <c r="P278" i="2"/>
  <c r="R464" i="2"/>
  <c r="Q464" i="2"/>
  <c r="P464" i="2"/>
  <c r="O464" i="2"/>
  <c r="R276" i="2" l="1"/>
  <c r="Q208" i="3"/>
  <c r="P208" i="3"/>
  <c r="O208" i="3"/>
  <c r="Q142" i="6"/>
  <c r="R154" i="6"/>
  <c r="Q154" i="6"/>
  <c r="P154" i="6"/>
  <c r="O154" i="6"/>
  <c r="R151" i="6"/>
  <c r="Q151" i="6"/>
  <c r="P151" i="6"/>
  <c r="O151" i="6"/>
  <c r="Q150" i="6"/>
  <c r="P150" i="6"/>
  <c r="O150" i="6"/>
  <c r="R142" i="6"/>
  <c r="P142" i="6"/>
  <c r="O142" i="6"/>
  <c r="Q141" i="6"/>
  <c r="P141" i="6"/>
  <c r="O141" i="6"/>
  <c r="T136" i="6"/>
  <c r="S136" i="6"/>
  <c r="R136" i="6"/>
  <c r="Q136" i="6"/>
  <c r="P136" i="6"/>
  <c r="O136" i="6"/>
  <c r="R133" i="6"/>
  <c r="Q133" i="6"/>
  <c r="P133" i="6"/>
  <c r="O133" i="6"/>
  <c r="Q132" i="6"/>
  <c r="P132" i="6"/>
  <c r="O132" i="6"/>
  <c r="Q130" i="6"/>
  <c r="O130" i="6"/>
  <c r="Q129" i="6"/>
  <c r="O129" i="6"/>
  <c r="Q128" i="6"/>
  <c r="P128" i="6"/>
  <c r="O128" i="6"/>
  <c r="R124" i="6"/>
  <c r="Q124" i="6"/>
  <c r="P124" i="6"/>
  <c r="O124" i="6"/>
  <c r="Q123" i="6"/>
  <c r="P123" i="6"/>
  <c r="O123" i="6"/>
  <c r="Q120" i="6"/>
  <c r="O120" i="6"/>
  <c r="O92" i="6"/>
  <c r="O88" i="6"/>
  <c r="O82" i="6"/>
  <c r="O79" i="6"/>
  <c r="O78" i="6"/>
  <c r="O77" i="6"/>
  <c r="O76" i="6"/>
  <c r="N76" i="6"/>
  <c r="M79" i="6"/>
  <c r="M76" i="6"/>
  <c r="D106" i="8" l="1"/>
  <c r="N111" i="8"/>
  <c r="N108" i="8"/>
  <c r="O119" i="8"/>
  <c r="O118" i="8"/>
  <c r="O116" i="8"/>
  <c r="O115" i="8"/>
  <c r="O112" i="8"/>
  <c r="O109" i="8"/>
  <c r="O108" i="8"/>
  <c r="O60" i="5" l="1"/>
  <c r="P60" i="5"/>
  <c r="O49" i="5"/>
  <c r="X143" i="8" l="1"/>
  <c r="Q151" i="8"/>
  <c r="Q148" i="8"/>
  <c r="Q145" i="8"/>
  <c r="Q143" i="8"/>
  <c r="O151" i="8"/>
  <c r="O148" i="8"/>
  <c r="O145" i="8"/>
  <c r="O143" i="8"/>
  <c r="O47" i="9" l="1"/>
  <c r="O44" i="9"/>
  <c r="O42" i="9"/>
  <c r="O102" i="9"/>
  <c r="O99" i="9"/>
  <c r="O77" i="9"/>
  <c r="O74" i="9"/>
  <c r="D209" i="6" l="1"/>
  <c r="D198" i="6" l="1"/>
  <c r="X209" i="6"/>
  <c r="R216" i="6"/>
  <c r="S216" i="6"/>
  <c r="Q216" i="6"/>
  <c r="X468" i="2" l="1"/>
  <c r="O468" i="2"/>
  <c r="N216" i="6" l="1"/>
  <c r="O216" i="6"/>
  <c r="P216" i="6"/>
  <c r="T216" i="6"/>
  <c r="U216" i="6"/>
  <c r="V216" i="6"/>
  <c r="W216" i="6"/>
  <c r="M216" i="6"/>
  <c r="D218" i="6"/>
  <c r="N224" i="6"/>
  <c r="O224" i="6"/>
  <c r="P224" i="6"/>
  <c r="Q224" i="6"/>
  <c r="R224" i="6"/>
  <c r="S224" i="6"/>
  <c r="T224" i="6"/>
  <c r="U224" i="6"/>
  <c r="V224" i="6"/>
  <c r="W224" i="6"/>
  <c r="M224" i="6"/>
  <c r="X216" i="6" l="1"/>
  <c r="O40" i="3"/>
  <c r="O38" i="3"/>
  <c r="O35" i="3"/>
  <c r="O33" i="3"/>
  <c r="E204" i="6" l="1"/>
  <c r="F204" i="6"/>
  <c r="G204" i="6"/>
  <c r="H204" i="6"/>
  <c r="I204" i="6"/>
  <c r="J204" i="6"/>
  <c r="K204" i="6"/>
  <c r="L204" i="6"/>
  <c r="E158" i="6"/>
  <c r="F158" i="6"/>
  <c r="G158" i="6"/>
  <c r="H158" i="6"/>
  <c r="I158" i="6"/>
  <c r="J158" i="6"/>
  <c r="K158" i="6"/>
  <c r="L158" i="6"/>
  <c r="M158" i="6"/>
  <c r="N158" i="6"/>
  <c r="O158" i="6"/>
  <c r="P158" i="6"/>
  <c r="Q158" i="6"/>
  <c r="R158" i="6"/>
  <c r="S158" i="6"/>
  <c r="T158" i="6"/>
  <c r="U158" i="6"/>
  <c r="V158" i="6"/>
  <c r="W158" i="6"/>
  <c r="E159" i="6"/>
  <c r="F159" i="6"/>
  <c r="G159" i="6"/>
  <c r="H159" i="6"/>
  <c r="I159" i="6"/>
  <c r="J159" i="6"/>
  <c r="K159" i="6"/>
  <c r="L159" i="6"/>
  <c r="M159" i="6"/>
  <c r="N159" i="6"/>
  <c r="N17" i="6" s="1"/>
  <c r="O159" i="6"/>
  <c r="O17" i="6" s="1"/>
  <c r="P159" i="6"/>
  <c r="P17" i="6" s="1"/>
  <c r="Q159" i="6"/>
  <c r="R159" i="6"/>
  <c r="S159" i="6"/>
  <c r="T159" i="6"/>
  <c r="T17" i="6" s="1"/>
  <c r="U159" i="6"/>
  <c r="U17" i="6" s="1"/>
  <c r="V159" i="6"/>
  <c r="V17" i="6" s="1"/>
  <c r="W159" i="6"/>
  <c r="W17" i="6" s="1"/>
  <c r="E162" i="6"/>
  <c r="F162" i="6"/>
  <c r="G162" i="6"/>
  <c r="H162" i="6"/>
  <c r="I162" i="6"/>
  <c r="J162" i="6"/>
  <c r="K162" i="6"/>
  <c r="L162" i="6"/>
  <c r="M162" i="6"/>
  <c r="N162" i="6"/>
  <c r="O162" i="6"/>
  <c r="P162" i="6"/>
  <c r="Q162" i="6"/>
  <c r="R162" i="6"/>
  <c r="S162" i="6"/>
  <c r="T162" i="6"/>
  <c r="U162" i="6"/>
  <c r="V162" i="6"/>
  <c r="W162" i="6"/>
  <c r="E163" i="6"/>
  <c r="F163" i="6"/>
  <c r="G163" i="6"/>
  <c r="H163" i="6"/>
  <c r="I163" i="6"/>
  <c r="J163" i="6"/>
  <c r="K163" i="6"/>
  <c r="L163" i="6"/>
  <c r="M163" i="6"/>
  <c r="N163" i="6"/>
  <c r="O163" i="6"/>
  <c r="P163" i="6"/>
  <c r="Q163" i="6"/>
  <c r="R163" i="6"/>
  <c r="S163" i="6"/>
  <c r="T163" i="6"/>
  <c r="U163" i="6"/>
  <c r="V163" i="6"/>
  <c r="W163" i="6"/>
  <c r="X163" i="6"/>
  <c r="E164" i="6"/>
  <c r="F164" i="6"/>
  <c r="F161" i="6" s="1"/>
  <c r="F160" i="6" s="1"/>
  <c r="G164" i="6"/>
  <c r="H164" i="6"/>
  <c r="H161" i="6" s="1"/>
  <c r="H160" i="6" s="1"/>
  <c r="I164" i="6"/>
  <c r="J164" i="6"/>
  <c r="J161" i="6" s="1"/>
  <c r="J160" i="6" s="1"/>
  <c r="K164" i="6"/>
  <c r="L164" i="6"/>
  <c r="L161" i="6" s="1"/>
  <c r="L160" i="6" s="1"/>
  <c r="M164" i="6"/>
  <c r="N164" i="6"/>
  <c r="N161" i="6" s="1"/>
  <c r="N160" i="6" s="1"/>
  <c r="O164" i="6"/>
  <c r="P164" i="6"/>
  <c r="Q164" i="6"/>
  <c r="R164" i="6"/>
  <c r="S164" i="6"/>
  <c r="T164" i="6"/>
  <c r="U164" i="6"/>
  <c r="V164" i="6"/>
  <c r="W164" i="6"/>
  <c r="E167" i="6"/>
  <c r="F167" i="6"/>
  <c r="G167" i="6"/>
  <c r="H167" i="6"/>
  <c r="I167" i="6"/>
  <c r="J167" i="6"/>
  <c r="K167" i="6"/>
  <c r="L167" i="6"/>
  <c r="M167" i="6"/>
  <c r="N167" i="6"/>
  <c r="N166" i="6" s="1"/>
  <c r="O167" i="6"/>
  <c r="P167" i="6"/>
  <c r="Q167" i="6"/>
  <c r="Q166" i="6" s="1"/>
  <c r="R167" i="6"/>
  <c r="S167" i="6"/>
  <c r="T167" i="6"/>
  <c r="U167" i="6"/>
  <c r="U166" i="6" s="1"/>
  <c r="V167" i="6"/>
  <c r="W167" i="6"/>
  <c r="E170" i="6"/>
  <c r="F170" i="6"/>
  <c r="G170" i="6"/>
  <c r="H170" i="6"/>
  <c r="I170" i="6"/>
  <c r="J170" i="6"/>
  <c r="K170" i="6"/>
  <c r="L170" i="6"/>
  <c r="M170" i="6"/>
  <c r="N170" i="6"/>
  <c r="O170" i="6"/>
  <c r="P170" i="6"/>
  <c r="Q170" i="6"/>
  <c r="R170" i="6"/>
  <c r="S170" i="6"/>
  <c r="T170" i="6"/>
  <c r="U170" i="6"/>
  <c r="V170" i="6"/>
  <c r="W170" i="6"/>
  <c r="E171" i="6"/>
  <c r="F171" i="6"/>
  <c r="G171" i="6"/>
  <c r="H171" i="6"/>
  <c r="I171" i="6"/>
  <c r="J171" i="6"/>
  <c r="K171" i="6"/>
  <c r="L171" i="6"/>
  <c r="M171" i="6"/>
  <c r="N171" i="6"/>
  <c r="O171" i="6"/>
  <c r="P171" i="6"/>
  <c r="Q171" i="6"/>
  <c r="R171" i="6"/>
  <c r="S171" i="6"/>
  <c r="T171" i="6"/>
  <c r="U171" i="6"/>
  <c r="V171" i="6"/>
  <c r="W171" i="6"/>
  <c r="E172" i="6"/>
  <c r="F172" i="6"/>
  <c r="G172" i="6"/>
  <c r="H172" i="6"/>
  <c r="I172" i="6"/>
  <c r="J172" i="6"/>
  <c r="K172" i="6"/>
  <c r="L172" i="6"/>
  <c r="M172" i="6"/>
  <c r="N172" i="6"/>
  <c r="O172" i="6"/>
  <c r="P172" i="6"/>
  <c r="Q172" i="6"/>
  <c r="R172" i="6"/>
  <c r="S172" i="6"/>
  <c r="T172" i="6"/>
  <c r="U172" i="6"/>
  <c r="V172" i="6"/>
  <c r="W172" i="6"/>
  <c r="N175" i="6"/>
  <c r="O175" i="6"/>
  <c r="P175" i="6"/>
  <c r="Q175" i="6"/>
  <c r="R175" i="6"/>
  <c r="S175" i="6"/>
  <c r="T175" i="6"/>
  <c r="U175" i="6"/>
  <c r="V175" i="6"/>
  <c r="W175" i="6"/>
  <c r="M175" i="6"/>
  <c r="X175" i="6" s="1"/>
  <c r="X176" i="6"/>
  <c r="X177" i="6"/>
  <c r="X180" i="6"/>
  <c r="N179" i="6"/>
  <c r="N178" i="6" s="1"/>
  <c r="O179" i="6"/>
  <c r="P179" i="6"/>
  <c r="P178" i="6" s="1"/>
  <c r="Q179" i="6"/>
  <c r="Q178" i="6" s="1"/>
  <c r="Q174" i="6" s="1"/>
  <c r="R179" i="6"/>
  <c r="R178" i="6" s="1"/>
  <c r="S179" i="6"/>
  <c r="S178" i="6" s="1"/>
  <c r="S174" i="6" s="1"/>
  <c r="T179" i="6"/>
  <c r="T178" i="6" s="1"/>
  <c r="U179" i="6"/>
  <c r="U178" i="6" s="1"/>
  <c r="U174" i="6" s="1"/>
  <c r="V179" i="6"/>
  <c r="V178" i="6" s="1"/>
  <c r="W179" i="6"/>
  <c r="W178" i="6" s="1"/>
  <c r="W174" i="6" s="1"/>
  <c r="M179" i="6"/>
  <c r="M178" i="6" s="1"/>
  <c r="D176" i="6"/>
  <c r="D177" i="6"/>
  <c r="D180" i="6"/>
  <c r="N182" i="6"/>
  <c r="O182" i="6"/>
  <c r="P182" i="6"/>
  <c r="Q182" i="6"/>
  <c r="R182" i="6"/>
  <c r="S182" i="6"/>
  <c r="T182" i="6"/>
  <c r="U182" i="6"/>
  <c r="V182" i="6"/>
  <c r="W182" i="6"/>
  <c r="M182" i="6"/>
  <c r="D183" i="6"/>
  <c r="N185" i="6"/>
  <c r="O185" i="6"/>
  <c r="P185" i="6"/>
  <c r="Q185" i="6"/>
  <c r="R185" i="6"/>
  <c r="S185" i="6"/>
  <c r="T185" i="6"/>
  <c r="U185" i="6"/>
  <c r="V185" i="6"/>
  <c r="W185" i="6"/>
  <c r="M185" i="6"/>
  <c r="D186" i="6"/>
  <c r="N189" i="6"/>
  <c r="O189" i="6"/>
  <c r="P189" i="6"/>
  <c r="Q189" i="6"/>
  <c r="R189" i="6"/>
  <c r="S189" i="6"/>
  <c r="T189" i="6"/>
  <c r="U189" i="6"/>
  <c r="V189" i="6"/>
  <c r="W189" i="6"/>
  <c r="M189" i="6"/>
  <c r="X190" i="6"/>
  <c r="X191" i="6"/>
  <c r="X194" i="6"/>
  <c r="X195" i="6"/>
  <c r="N193" i="6"/>
  <c r="N192" i="6" s="1"/>
  <c r="O193" i="6"/>
  <c r="O192" i="6" s="1"/>
  <c r="P193" i="6"/>
  <c r="P192" i="6" s="1"/>
  <c r="Q193" i="6"/>
  <c r="Q192" i="6" s="1"/>
  <c r="R193" i="6"/>
  <c r="R192" i="6" s="1"/>
  <c r="S193" i="6"/>
  <c r="S192" i="6" s="1"/>
  <c r="T193" i="6"/>
  <c r="T192" i="6" s="1"/>
  <c r="U193" i="6"/>
  <c r="U192" i="6" s="1"/>
  <c r="V193" i="6"/>
  <c r="V192" i="6" s="1"/>
  <c r="W193" i="6"/>
  <c r="W192" i="6" s="1"/>
  <c r="M193" i="6"/>
  <c r="M192" i="6" s="1"/>
  <c r="D195" i="6"/>
  <c r="D163" i="6" s="1"/>
  <c r="D194" i="6"/>
  <c r="D191" i="6"/>
  <c r="D190" i="6"/>
  <c r="E196" i="6"/>
  <c r="F196" i="6"/>
  <c r="G196" i="6"/>
  <c r="H196" i="6"/>
  <c r="I196" i="6"/>
  <c r="J196" i="6"/>
  <c r="K196" i="6"/>
  <c r="L196" i="6"/>
  <c r="N197" i="6"/>
  <c r="O197" i="6"/>
  <c r="P197" i="6"/>
  <c r="Q197" i="6"/>
  <c r="R197" i="6"/>
  <c r="S197" i="6"/>
  <c r="T197" i="6"/>
  <c r="U197" i="6"/>
  <c r="V197" i="6"/>
  <c r="W197" i="6"/>
  <c r="M197" i="6"/>
  <c r="N200" i="6"/>
  <c r="N199" i="6" s="1"/>
  <c r="O200" i="6"/>
  <c r="O199" i="6" s="1"/>
  <c r="P200" i="6"/>
  <c r="P199" i="6" s="1"/>
  <c r="Q200" i="6"/>
  <c r="Q199" i="6" s="1"/>
  <c r="R200" i="6"/>
  <c r="R199" i="6" s="1"/>
  <c r="S200" i="6"/>
  <c r="S199" i="6" s="1"/>
  <c r="T200" i="6"/>
  <c r="T199" i="6" s="1"/>
  <c r="U200" i="6"/>
  <c r="U199" i="6" s="1"/>
  <c r="V200" i="6"/>
  <c r="V199" i="6" s="1"/>
  <c r="W200" i="6"/>
  <c r="W199" i="6" s="1"/>
  <c r="M200" i="6"/>
  <c r="D201" i="6"/>
  <c r="D202" i="6"/>
  <c r="D171" i="6" s="1"/>
  <c r="N205" i="6"/>
  <c r="O205" i="6"/>
  <c r="P205" i="6"/>
  <c r="Q205" i="6"/>
  <c r="R205" i="6"/>
  <c r="S205" i="6"/>
  <c r="T205" i="6"/>
  <c r="U205" i="6"/>
  <c r="V205" i="6"/>
  <c r="W205" i="6"/>
  <c r="M205" i="6"/>
  <c r="D206" i="6"/>
  <c r="X206" i="6"/>
  <c r="N208" i="6"/>
  <c r="N207" i="6" s="1"/>
  <c r="O208" i="6"/>
  <c r="O207" i="6" s="1"/>
  <c r="P208" i="6"/>
  <c r="P207" i="6" s="1"/>
  <c r="Q208" i="6"/>
  <c r="R208" i="6"/>
  <c r="R207" i="6" s="1"/>
  <c r="S208" i="6"/>
  <c r="S207" i="6" s="1"/>
  <c r="T208" i="6"/>
  <c r="T207" i="6" s="1"/>
  <c r="U208" i="6"/>
  <c r="U207" i="6" s="1"/>
  <c r="V208" i="6"/>
  <c r="V207" i="6" s="1"/>
  <c r="W208" i="6"/>
  <c r="W207" i="6" s="1"/>
  <c r="M208" i="6"/>
  <c r="M207" i="6" s="1"/>
  <c r="E210" i="6"/>
  <c r="F210" i="6"/>
  <c r="G210" i="6"/>
  <c r="H210" i="6"/>
  <c r="I210" i="6"/>
  <c r="J210" i="6"/>
  <c r="K210" i="6"/>
  <c r="L210" i="6"/>
  <c r="N212" i="6"/>
  <c r="N211" i="6" s="1"/>
  <c r="O212" i="6"/>
  <c r="O211" i="6" s="1"/>
  <c r="O210" i="6" s="1"/>
  <c r="P212" i="6"/>
  <c r="P211" i="6" s="1"/>
  <c r="P210" i="6" s="1"/>
  <c r="Q212" i="6"/>
  <c r="R212" i="6"/>
  <c r="R211" i="6" s="1"/>
  <c r="R210" i="6" s="1"/>
  <c r="S212" i="6"/>
  <c r="S211" i="6" s="1"/>
  <c r="S210" i="6" s="1"/>
  <c r="T212" i="6"/>
  <c r="T211" i="6" s="1"/>
  <c r="T210" i="6" s="1"/>
  <c r="U212" i="6"/>
  <c r="U211" i="6" s="1"/>
  <c r="U210" i="6" s="1"/>
  <c r="V212" i="6"/>
  <c r="V211" i="6" s="1"/>
  <c r="V210" i="6" s="1"/>
  <c r="W212" i="6"/>
  <c r="W211" i="6" s="1"/>
  <c r="W210" i="6" s="1"/>
  <c r="M212" i="6"/>
  <c r="Q211" i="6"/>
  <c r="Q210" i="6" s="1"/>
  <c r="D213" i="6"/>
  <c r="D298" i="6" s="1"/>
  <c r="X217" i="6"/>
  <c r="X218" i="6"/>
  <c r="D217" i="6"/>
  <c r="D225" i="6"/>
  <c r="D228" i="6"/>
  <c r="D297" i="6" s="1"/>
  <c r="D229" i="6"/>
  <c r="D172" i="6" s="1"/>
  <c r="X221" i="6"/>
  <c r="X222" i="6"/>
  <c r="D221" i="6"/>
  <c r="D222" i="6"/>
  <c r="D164" i="6" s="1"/>
  <c r="E220" i="6"/>
  <c r="E219" i="6" s="1"/>
  <c r="E215" i="6" s="1"/>
  <c r="F220" i="6"/>
  <c r="F219" i="6" s="1"/>
  <c r="F215" i="6" s="1"/>
  <c r="G220" i="6"/>
  <c r="G219" i="6" s="1"/>
  <c r="G215" i="6" s="1"/>
  <c r="H220" i="6"/>
  <c r="H219" i="6" s="1"/>
  <c r="H215" i="6" s="1"/>
  <c r="I220" i="6"/>
  <c r="I219" i="6" s="1"/>
  <c r="I215" i="6" s="1"/>
  <c r="J220" i="6"/>
  <c r="J219" i="6" s="1"/>
  <c r="J215" i="6" s="1"/>
  <c r="K220" i="6"/>
  <c r="K219" i="6" s="1"/>
  <c r="K215" i="6" s="1"/>
  <c r="L220" i="6"/>
  <c r="L219" i="6" s="1"/>
  <c r="L215" i="6" s="1"/>
  <c r="M220" i="6"/>
  <c r="M219" i="6" s="1"/>
  <c r="N220" i="6"/>
  <c r="N219" i="6" s="1"/>
  <c r="O220" i="6"/>
  <c r="O219" i="6" s="1"/>
  <c r="P220" i="6"/>
  <c r="P219" i="6" s="1"/>
  <c r="P215" i="6" s="1"/>
  <c r="Q220" i="6"/>
  <c r="Q219" i="6" s="1"/>
  <c r="R220" i="6"/>
  <c r="R219" i="6" s="1"/>
  <c r="S220" i="6"/>
  <c r="S219" i="6" s="1"/>
  <c r="T220" i="6"/>
  <c r="T219" i="6" s="1"/>
  <c r="T215" i="6" s="1"/>
  <c r="U220" i="6"/>
  <c r="U219" i="6" s="1"/>
  <c r="V220" i="6"/>
  <c r="V219" i="6" s="1"/>
  <c r="W220" i="6"/>
  <c r="W219" i="6" s="1"/>
  <c r="E224" i="6"/>
  <c r="F224" i="6"/>
  <c r="G224" i="6"/>
  <c r="H224" i="6"/>
  <c r="I224" i="6"/>
  <c r="J224" i="6"/>
  <c r="K224" i="6"/>
  <c r="L224" i="6"/>
  <c r="E227" i="6"/>
  <c r="E169" i="6" s="1"/>
  <c r="F227" i="6"/>
  <c r="F169" i="6" s="1"/>
  <c r="G227" i="6"/>
  <c r="G169" i="6" s="1"/>
  <c r="H227" i="6"/>
  <c r="H169" i="6" s="1"/>
  <c r="I227" i="6"/>
  <c r="I169" i="6" s="1"/>
  <c r="J227" i="6"/>
  <c r="J169" i="6" s="1"/>
  <c r="K227" i="6"/>
  <c r="K169" i="6" s="1"/>
  <c r="L227" i="6"/>
  <c r="L169" i="6" s="1"/>
  <c r="M227" i="6"/>
  <c r="M226" i="6" s="1"/>
  <c r="N227" i="6"/>
  <c r="O227" i="6"/>
  <c r="P227" i="6"/>
  <c r="Q227" i="6"/>
  <c r="R227" i="6"/>
  <c r="S227" i="6"/>
  <c r="T227" i="6"/>
  <c r="U227" i="6"/>
  <c r="V227" i="6"/>
  <c r="V226" i="6" s="1"/>
  <c r="W227" i="6"/>
  <c r="W226" i="6" s="1"/>
  <c r="W223" i="6" s="1"/>
  <c r="M211" i="6" l="1"/>
  <c r="M210" i="6" s="1"/>
  <c r="D212" i="6"/>
  <c r="D170" i="6"/>
  <c r="W169" i="6"/>
  <c r="U169" i="6"/>
  <c r="S169" i="6"/>
  <c r="Q169" i="6"/>
  <c r="O169" i="6"/>
  <c r="T169" i="6"/>
  <c r="R169" i="6"/>
  <c r="P169" i="6"/>
  <c r="N169" i="6"/>
  <c r="M169" i="6"/>
  <c r="D185" i="6"/>
  <c r="V184" i="6"/>
  <c r="V169" i="6"/>
  <c r="L226" i="6"/>
  <c r="L168" i="6"/>
  <c r="J226" i="6"/>
  <c r="H226" i="6"/>
  <c r="H168" i="6"/>
  <c r="F226" i="6"/>
  <c r="J168" i="6"/>
  <c r="F168" i="6"/>
  <c r="K226" i="6"/>
  <c r="K223" i="6" s="1"/>
  <c r="K168" i="6"/>
  <c r="I226" i="6"/>
  <c r="I223" i="6" s="1"/>
  <c r="I168" i="6"/>
  <c r="I165" i="6" s="1"/>
  <c r="G226" i="6"/>
  <c r="G223" i="6" s="1"/>
  <c r="G168" i="6"/>
  <c r="E226" i="6"/>
  <c r="E223" i="6" s="1"/>
  <c r="E168" i="6"/>
  <c r="U26" i="6"/>
  <c r="O26" i="6"/>
  <c r="T184" i="6"/>
  <c r="T181" i="6" s="1"/>
  <c r="R184" i="6"/>
  <c r="R181" i="6" s="1"/>
  <c r="P184" i="6"/>
  <c r="N184" i="6"/>
  <c r="N181" i="6" s="1"/>
  <c r="D299" i="6"/>
  <c r="S26" i="6"/>
  <c r="Q26" i="6"/>
  <c r="T26" i="6"/>
  <c r="R26" i="6"/>
  <c r="P26" i="6"/>
  <c r="D182" i="6"/>
  <c r="V188" i="6"/>
  <c r="T188" i="6"/>
  <c r="R188" i="6"/>
  <c r="P188" i="6"/>
  <c r="W157" i="6"/>
  <c r="U157" i="6"/>
  <c r="O157" i="6"/>
  <c r="M157" i="6"/>
  <c r="W204" i="6"/>
  <c r="S204" i="6"/>
  <c r="O204" i="6"/>
  <c r="W196" i="6"/>
  <c r="U196" i="6"/>
  <c r="S196" i="6"/>
  <c r="Q196" i="6"/>
  <c r="O196" i="6"/>
  <c r="P181" i="6"/>
  <c r="K161" i="6"/>
  <c r="K160" i="6" s="1"/>
  <c r="I161" i="6"/>
  <c r="I160" i="6" s="1"/>
  <c r="G161" i="6"/>
  <c r="G160" i="6" s="1"/>
  <c r="E161" i="6"/>
  <c r="E160" i="6" s="1"/>
  <c r="V157" i="6"/>
  <c r="T157" i="6"/>
  <c r="P157" i="6"/>
  <c r="T161" i="6"/>
  <c r="W161" i="6"/>
  <c r="V161" i="6"/>
  <c r="U161" i="6"/>
  <c r="P161" i="6"/>
  <c r="O161" i="6"/>
  <c r="Q207" i="6"/>
  <c r="X207" i="6" s="1"/>
  <c r="D208" i="6"/>
  <c r="Q161" i="6"/>
  <c r="S17" i="6"/>
  <c r="S157" i="6"/>
  <c r="R17" i="6"/>
  <c r="R157" i="6"/>
  <c r="Q17" i="6"/>
  <c r="Q157" i="6"/>
  <c r="S161" i="6"/>
  <c r="R161" i="6"/>
  <c r="W24" i="6"/>
  <c r="W166" i="6"/>
  <c r="S24" i="6"/>
  <c r="S166" i="6"/>
  <c r="O24" i="6"/>
  <c r="O166" i="6"/>
  <c r="M24" i="6"/>
  <c r="M166" i="6"/>
  <c r="V24" i="6"/>
  <c r="V166" i="6"/>
  <c r="T24" i="6"/>
  <c r="T166" i="6"/>
  <c r="R24" i="6"/>
  <c r="R166" i="6"/>
  <c r="P24" i="6"/>
  <c r="P166" i="6"/>
  <c r="X192" i="6"/>
  <c r="N188" i="6"/>
  <c r="D167" i="6"/>
  <c r="D166" i="6" s="1"/>
  <c r="D224" i="6"/>
  <c r="X205" i="6"/>
  <c r="V181" i="6"/>
  <c r="D219" i="6"/>
  <c r="U226" i="6"/>
  <c r="U223" i="6" s="1"/>
  <c r="Q226" i="6"/>
  <c r="Q223" i="6" s="1"/>
  <c r="V223" i="6"/>
  <c r="L223" i="6"/>
  <c r="J223" i="6"/>
  <c r="H223" i="6"/>
  <c r="F223" i="6"/>
  <c r="D211" i="6"/>
  <c r="D210" i="6" s="1"/>
  <c r="N210" i="6"/>
  <c r="W188" i="6"/>
  <c r="U188" i="6"/>
  <c r="S188" i="6"/>
  <c r="Q188" i="6"/>
  <c r="U168" i="6"/>
  <c r="U165" i="6" s="1"/>
  <c r="S168" i="6"/>
  <c r="Q168" i="6"/>
  <c r="O168" i="6"/>
  <c r="O165" i="6" s="1"/>
  <c r="W184" i="6"/>
  <c r="S184" i="6"/>
  <c r="S181" i="6" s="1"/>
  <c r="O184" i="6"/>
  <c r="K166" i="6"/>
  <c r="I166" i="6"/>
  <c r="G166" i="6"/>
  <c r="E166" i="6"/>
  <c r="Q24" i="6"/>
  <c r="S226" i="6"/>
  <c r="S223" i="6" s="1"/>
  <c r="O226" i="6"/>
  <c r="O223" i="6" s="1"/>
  <c r="D220" i="6"/>
  <c r="D197" i="6"/>
  <c r="U184" i="6"/>
  <c r="Q184" i="6"/>
  <c r="L166" i="6"/>
  <c r="J166" i="6"/>
  <c r="H166" i="6"/>
  <c r="F166" i="6"/>
  <c r="F165" i="6" s="1"/>
  <c r="U24" i="6"/>
  <c r="V215" i="6"/>
  <c r="R215" i="6"/>
  <c r="N215" i="6"/>
  <c r="J165" i="6"/>
  <c r="M223" i="6"/>
  <c r="W215" i="6"/>
  <c r="U215" i="6"/>
  <c r="S215" i="6"/>
  <c r="Q215" i="6"/>
  <c r="O215" i="6"/>
  <c r="D207" i="6"/>
  <c r="M204" i="6"/>
  <c r="D205" i="6"/>
  <c r="V204" i="6"/>
  <c r="T204" i="6"/>
  <c r="R204" i="6"/>
  <c r="P204" i="6"/>
  <c r="N204" i="6"/>
  <c r="D200" i="6"/>
  <c r="M199" i="6"/>
  <c r="D199" i="6" s="1"/>
  <c r="D196" i="6" s="1"/>
  <c r="V196" i="6"/>
  <c r="T196" i="6"/>
  <c r="R196" i="6"/>
  <c r="P196" i="6"/>
  <c r="N196" i="6"/>
  <c r="M196" i="6"/>
  <c r="O188" i="6"/>
  <c r="X189" i="6"/>
  <c r="X188" i="6" s="1"/>
  <c r="D189" i="6"/>
  <c r="M188" i="6"/>
  <c r="M174" i="6"/>
  <c r="D175" i="6"/>
  <c r="V174" i="6"/>
  <c r="T174" i="6"/>
  <c r="R174" i="6"/>
  <c r="P174" i="6"/>
  <c r="N174" i="6"/>
  <c r="P168" i="6"/>
  <c r="D227" i="6"/>
  <c r="T226" i="6"/>
  <c r="T223" i="6" s="1"/>
  <c r="R226" i="6"/>
  <c r="R223" i="6" s="1"/>
  <c r="P226" i="6"/>
  <c r="P223" i="6" s="1"/>
  <c r="N226" i="6"/>
  <c r="D226" i="6" s="1"/>
  <c r="X219" i="6"/>
  <c r="X215" i="6" s="1"/>
  <c r="M215" i="6"/>
  <c r="D216" i="6"/>
  <c r="U204" i="6"/>
  <c r="Q204" i="6"/>
  <c r="D192" i="6"/>
  <c r="X193" i="6"/>
  <c r="M168" i="6"/>
  <c r="M165" i="6" s="1"/>
  <c r="M184" i="6"/>
  <c r="W181" i="6"/>
  <c r="U181" i="6"/>
  <c r="Q181" i="6"/>
  <c r="O181" i="6"/>
  <c r="D158" i="6"/>
  <c r="D179" i="6"/>
  <c r="X179" i="6"/>
  <c r="O178" i="6"/>
  <c r="O174" i="6" s="1"/>
  <c r="R168" i="6"/>
  <c r="N168" i="6"/>
  <c r="N165" i="6" s="1"/>
  <c r="Q165" i="6"/>
  <c r="X158" i="6"/>
  <c r="X220" i="6"/>
  <c r="X208" i="6"/>
  <c r="D193" i="6"/>
  <c r="M161" i="6"/>
  <c r="X164" i="6"/>
  <c r="X162" i="6"/>
  <c r="X159" i="6"/>
  <c r="N156" i="6"/>
  <c r="O448" i="2"/>
  <c r="O500" i="2"/>
  <c r="O508" i="2"/>
  <c r="O509" i="2"/>
  <c r="O504" i="2"/>
  <c r="O505" i="2"/>
  <c r="O400" i="2"/>
  <c r="P400" i="2"/>
  <c r="X291" i="2"/>
  <c r="X290" i="2"/>
  <c r="M296" i="2"/>
  <c r="M291" i="2"/>
  <c r="F289" i="2"/>
  <c r="G289" i="2"/>
  <c r="H289" i="2"/>
  <c r="J289" i="2"/>
  <c r="K289" i="2"/>
  <c r="L289" i="2"/>
  <c r="N289" i="2"/>
  <c r="O289" i="2"/>
  <c r="P289" i="2"/>
  <c r="P212" i="2"/>
  <c r="P209" i="2"/>
  <c r="E295" i="2"/>
  <c r="F295" i="2"/>
  <c r="G295" i="2"/>
  <c r="H295" i="2"/>
  <c r="I295" i="2"/>
  <c r="J295" i="2"/>
  <c r="K295" i="2"/>
  <c r="L295" i="2"/>
  <c r="N295" i="2"/>
  <c r="O295" i="2"/>
  <c r="P295" i="2"/>
  <c r="X293" i="2"/>
  <c r="X292" i="2" s="1"/>
  <c r="D169" i="6" l="1"/>
  <c r="D168" i="6" s="1"/>
  <c r="G165" i="6"/>
  <c r="K165" i="6"/>
  <c r="H165" i="6"/>
  <c r="L165" i="6"/>
  <c r="E165" i="6"/>
  <c r="V168" i="6"/>
  <c r="V165" i="6" s="1"/>
  <c r="V26" i="6"/>
  <c r="D165" i="6"/>
  <c r="W168" i="6"/>
  <c r="W26" i="6"/>
  <c r="T168" i="6"/>
  <c r="T165" i="6" s="1"/>
  <c r="V160" i="6"/>
  <c r="V156" i="6" s="1"/>
  <c r="M160" i="6"/>
  <c r="O160" i="6"/>
  <c r="U160" i="6"/>
  <c r="U156" i="6" s="1"/>
  <c r="W160" i="6"/>
  <c r="W156" i="6" s="1"/>
  <c r="O156" i="6"/>
  <c r="W165" i="6"/>
  <c r="Z212" i="6"/>
  <c r="D291" i="2"/>
  <c r="D41" i="2" s="1"/>
  <c r="D17" i="2" s="1"/>
  <c r="D296" i="2"/>
  <c r="D49" i="2" s="1"/>
  <c r="M49" i="2"/>
  <c r="M295" i="2"/>
  <c r="X289" i="2"/>
  <c r="X288" i="2" s="1"/>
  <c r="X204" i="6"/>
  <c r="D215" i="6"/>
  <c r="Q160" i="6"/>
  <c r="Q156" i="6" s="1"/>
  <c r="S160" i="6"/>
  <c r="S156" i="6" s="1"/>
  <c r="T160" i="6"/>
  <c r="T156" i="6" s="1"/>
  <c r="R160" i="6"/>
  <c r="R156" i="6" s="1"/>
  <c r="D24" i="6"/>
  <c r="R165" i="6"/>
  <c r="P165" i="6"/>
  <c r="D188" i="6"/>
  <c r="S165" i="6"/>
  <c r="X160" i="6"/>
  <c r="P160" i="6"/>
  <c r="P156" i="6" s="1"/>
  <c r="V30" i="1"/>
  <c r="X161" i="6"/>
  <c r="D204" i="6"/>
  <c r="D162" i="6" s="1"/>
  <c r="X17" i="6"/>
  <c r="X157" i="6"/>
  <c r="D157" i="6"/>
  <c r="X178" i="6"/>
  <c r="M181" i="6"/>
  <c r="D181" i="6" s="1"/>
  <c r="D184" i="6"/>
  <c r="M156" i="6"/>
  <c r="D178" i="6"/>
  <c r="X174" i="6"/>
  <c r="D174" i="6"/>
  <c r="N223" i="6"/>
  <c r="P101" i="6"/>
  <c r="P103" i="6"/>
  <c r="O96" i="6"/>
  <c r="O98" i="6"/>
  <c r="O101" i="6"/>
  <c r="O103" i="6"/>
  <c r="O423" i="2"/>
  <c r="O425" i="2"/>
  <c r="D295" i="2" l="1"/>
  <c r="D160" i="6"/>
  <c r="D156" i="6" s="1"/>
  <c r="X156" i="6"/>
  <c r="L475" i="2"/>
  <c r="L474" i="2" s="1"/>
  <c r="K81" i="9" l="1"/>
  <c r="K80" i="9"/>
  <c r="K83" i="9"/>
  <c r="U152" i="1" l="1"/>
  <c r="U167" i="1"/>
  <c r="D129" i="4" l="1"/>
  <c r="X60" i="5" l="1"/>
  <c r="X59" i="5" s="1"/>
  <c r="X58" i="5" s="1"/>
  <c r="X138" i="4" l="1"/>
  <c r="X129" i="4" l="1"/>
  <c r="X127" i="4" l="1"/>
  <c r="X126" i="4" s="1"/>
  <c r="W53" i="13" l="1"/>
  <c r="W52" i="13" s="1"/>
  <c r="W51" i="13" s="1"/>
  <c r="V53" i="13"/>
  <c r="V52" i="13" s="1"/>
  <c r="V51" i="13" s="1"/>
  <c r="U53" i="13"/>
  <c r="U52" i="13" s="1"/>
  <c r="U51" i="13" s="1"/>
  <c r="W49" i="13"/>
  <c r="W48" i="13" s="1"/>
  <c r="V49" i="13"/>
  <c r="V48" i="13" s="1"/>
  <c r="U49" i="13"/>
  <c r="U48" i="13" s="1"/>
  <c r="T49" i="13"/>
  <c r="S60" i="13"/>
  <c r="S59" i="13" s="1"/>
  <c r="S49" i="13" s="1"/>
  <c r="S48" i="13" s="1"/>
  <c r="R60" i="13"/>
  <c r="R59" i="13" s="1"/>
  <c r="Q60" i="13"/>
  <c r="Q59" i="13"/>
  <c r="Q49" i="13" s="1"/>
  <c r="Q48" i="13" s="1"/>
  <c r="M61" i="13"/>
  <c r="X61" i="13"/>
  <c r="X60" i="13" s="1"/>
  <c r="X59" i="13" s="1"/>
  <c r="O61" i="13"/>
  <c r="N60" i="13"/>
  <c r="N59" i="13" s="1"/>
  <c r="L60" i="13"/>
  <c r="L59" i="13" s="1"/>
  <c r="J60" i="13"/>
  <c r="J59" i="13" s="1"/>
  <c r="P60" i="13"/>
  <c r="O60" i="13"/>
  <c r="O59" i="13" s="1"/>
  <c r="O49" i="13" s="1"/>
  <c r="O48" i="13" s="1"/>
  <c r="K60" i="13"/>
  <c r="K59" i="13" s="1"/>
  <c r="K50" i="13" s="1"/>
  <c r="I60" i="13"/>
  <c r="I59" i="13" s="1"/>
  <c r="I50" i="13" s="1"/>
  <c r="H60" i="13"/>
  <c r="G60" i="13"/>
  <c r="G59" i="13" s="1"/>
  <c r="G50" i="13" s="1"/>
  <c r="F60" i="13"/>
  <c r="F59" i="13" s="1"/>
  <c r="F50" i="13" s="1"/>
  <c r="E60" i="13"/>
  <c r="E59" i="13" s="1"/>
  <c r="E50" i="13" s="1"/>
  <c r="P59" i="13"/>
  <c r="P49" i="13" s="1"/>
  <c r="H59" i="13"/>
  <c r="T57" i="13"/>
  <c r="S57" i="13"/>
  <c r="S56" i="13" s="1"/>
  <c r="S55" i="13" s="1"/>
  <c r="R57" i="13"/>
  <c r="Q57" i="13"/>
  <c r="Q56" i="13" s="1"/>
  <c r="Q55" i="13" s="1"/>
  <c r="P57" i="13"/>
  <c r="O57" i="13"/>
  <c r="O56" i="13" s="1"/>
  <c r="O55" i="13" s="1"/>
  <c r="N57" i="13"/>
  <c r="M57" i="13"/>
  <c r="M56" i="13" s="1"/>
  <c r="M55" i="13" s="1"/>
  <c r="L57" i="13"/>
  <c r="K57" i="13"/>
  <c r="K56" i="13" s="1"/>
  <c r="K55" i="13" s="1"/>
  <c r="J57" i="13"/>
  <c r="I57" i="13"/>
  <c r="I56" i="13" s="1"/>
  <c r="I55" i="13" s="1"/>
  <c r="H57" i="13"/>
  <c r="G57" i="13"/>
  <c r="G56" i="13" s="1"/>
  <c r="G55" i="13" s="1"/>
  <c r="F57" i="13"/>
  <c r="E57" i="13"/>
  <c r="E56" i="13" s="1"/>
  <c r="E55" i="13" s="1"/>
  <c r="D57" i="13"/>
  <c r="T56" i="13"/>
  <c r="T55" i="13" s="1"/>
  <c r="R56" i="13"/>
  <c r="R55" i="13" s="1"/>
  <c r="P56" i="13"/>
  <c r="P55" i="13" s="1"/>
  <c r="N56" i="13"/>
  <c r="N55" i="13" s="1"/>
  <c r="L56" i="13"/>
  <c r="L55" i="13" s="1"/>
  <c r="J56" i="13"/>
  <c r="J55" i="13" s="1"/>
  <c r="H56" i="13"/>
  <c r="H55" i="13" s="1"/>
  <c r="F56" i="13"/>
  <c r="F55" i="13" s="1"/>
  <c r="D56" i="13"/>
  <c r="D55" i="13" s="1"/>
  <c r="T54" i="13"/>
  <c r="S54" i="13"/>
  <c r="R54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T53" i="13"/>
  <c r="T52" i="13" s="1"/>
  <c r="T51" i="13" s="1"/>
  <c r="S53" i="13"/>
  <c r="S52" i="13" s="1"/>
  <c r="R53" i="13"/>
  <c r="Q53" i="13"/>
  <c r="Q52" i="13" s="1"/>
  <c r="P53" i="13"/>
  <c r="O53" i="13"/>
  <c r="M53" i="13"/>
  <c r="M52" i="13" s="1"/>
  <c r="M51" i="13" s="1"/>
  <c r="K53" i="13"/>
  <c r="K52" i="13" s="1"/>
  <c r="I53" i="13"/>
  <c r="I52" i="13" s="1"/>
  <c r="I51" i="13" s="1"/>
  <c r="H53" i="13"/>
  <c r="G53" i="13"/>
  <c r="G52" i="13" s="1"/>
  <c r="G51" i="13" s="1"/>
  <c r="F53" i="13"/>
  <c r="E53" i="13"/>
  <c r="E52" i="13" s="1"/>
  <c r="E51" i="13" s="1"/>
  <c r="R52" i="13"/>
  <c r="R51" i="13" s="1"/>
  <c r="H52" i="13"/>
  <c r="H51" i="13" s="1"/>
  <c r="F52" i="13"/>
  <c r="F51" i="13" s="1"/>
  <c r="S51" i="13"/>
  <c r="Q51" i="13"/>
  <c r="K51" i="13"/>
  <c r="N50" i="13"/>
  <c r="L50" i="13"/>
  <c r="J50" i="13"/>
  <c r="H50" i="13"/>
  <c r="N49" i="13"/>
  <c r="L49" i="13"/>
  <c r="K49" i="13"/>
  <c r="K48" i="13" s="1"/>
  <c r="J49" i="13"/>
  <c r="I49" i="13"/>
  <c r="I48" i="13" s="1"/>
  <c r="H49" i="13"/>
  <c r="G49" i="13"/>
  <c r="G48" i="13" s="1"/>
  <c r="F49" i="13"/>
  <c r="E49" i="13"/>
  <c r="E48" i="13" s="1"/>
  <c r="T48" i="13"/>
  <c r="N48" i="13"/>
  <c r="J48" i="13"/>
  <c r="H48" i="13"/>
  <c r="O52" i="13" l="1"/>
  <c r="O51" i="13" s="1"/>
  <c r="F48" i="13"/>
  <c r="L48" i="13"/>
  <c r="X54" i="13"/>
  <c r="R49" i="13"/>
  <c r="R48" i="13" s="1"/>
  <c r="X50" i="13"/>
  <c r="X53" i="13"/>
  <c r="X52" i="13" s="1"/>
  <c r="X51" i="13" s="1"/>
  <c r="P48" i="13"/>
  <c r="P52" i="13"/>
  <c r="P51" i="13" s="1"/>
  <c r="D61" i="13"/>
  <c r="M60" i="13"/>
  <c r="M59" i="13" s="1"/>
  <c r="X49" i="13"/>
  <c r="X48" i="13" s="1"/>
  <c r="J53" i="13"/>
  <c r="J52" i="13" s="1"/>
  <c r="J51" i="13" s="1"/>
  <c r="L53" i="13"/>
  <c r="L52" i="13" s="1"/>
  <c r="L51" i="13" s="1"/>
  <c r="N53" i="13"/>
  <c r="N52" i="13" s="1"/>
  <c r="N51" i="13" s="1"/>
  <c r="M48" i="13" l="1"/>
  <c r="M49" i="13"/>
  <c r="D60" i="13"/>
  <c r="D59" i="13" s="1"/>
  <c r="D53" i="13"/>
  <c r="D52" i="13" s="1"/>
  <c r="D51" i="13" s="1"/>
  <c r="P35" i="5"/>
  <c r="P37" i="5"/>
  <c r="O35" i="5"/>
  <c r="O37" i="5"/>
  <c r="R42" i="5"/>
  <c r="O42" i="5"/>
  <c r="O34" i="5"/>
  <c r="P34" i="5"/>
  <c r="Q34" i="5"/>
  <c r="R34" i="5"/>
  <c r="S34" i="5"/>
  <c r="P36" i="5"/>
  <c r="Q36" i="5"/>
  <c r="R36" i="5"/>
  <c r="S36" i="5"/>
  <c r="O36" i="5"/>
  <c r="O39" i="5"/>
  <c r="P39" i="5"/>
  <c r="Q39" i="5"/>
  <c r="R39" i="5"/>
  <c r="D49" i="13" l="1"/>
  <c r="D48" i="13" s="1"/>
  <c r="R33" i="5"/>
  <c r="S33" i="5"/>
  <c r="Q33" i="5"/>
  <c r="P33" i="5"/>
  <c r="O33" i="5"/>
  <c r="O86" i="9" l="1"/>
  <c r="P13" i="9"/>
  <c r="E13" i="9"/>
  <c r="F13" i="9"/>
  <c r="G13" i="9"/>
  <c r="H13" i="9"/>
  <c r="I13" i="9"/>
  <c r="J13" i="9"/>
  <c r="N83" i="9"/>
  <c r="O83" i="9" l="1"/>
  <c r="P80" i="9" l="1"/>
  <c r="P79" i="9" s="1"/>
  <c r="M81" i="9"/>
  <c r="D81" i="9" s="1"/>
  <c r="X81" i="9"/>
  <c r="X80" i="9"/>
  <c r="O80" i="9"/>
  <c r="N80" i="9"/>
  <c r="L80" i="9"/>
  <c r="D80" i="9" l="1"/>
  <c r="M80" i="9"/>
  <c r="P503" i="2" l="1"/>
  <c r="P502" i="2" s="1"/>
  <c r="AD138" i="4" l="1"/>
  <c r="L184" i="3" l="1"/>
  <c r="AA138" i="4" l="1"/>
  <c r="Z138" i="4"/>
  <c r="Y138" i="4"/>
  <c r="M234" i="2" l="1"/>
  <c r="U168" i="1" l="1"/>
  <c r="U169" i="1"/>
  <c r="U170" i="1"/>
  <c r="U171" i="1"/>
  <c r="U172" i="1"/>
  <c r="U173" i="1"/>
  <c r="U174" i="1"/>
  <c r="U175" i="1"/>
  <c r="U176" i="1"/>
  <c r="U177" i="1"/>
  <c r="U178" i="1"/>
  <c r="U153" i="1"/>
  <c r="U154" i="1"/>
  <c r="U155" i="1"/>
  <c r="U156" i="1"/>
  <c r="U157" i="1"/>
  <c r="U158" i="1"/>
  <c r="U159" i="1"/>
  <c r="U160" i="1"/>
  <c r="U161" i="1"/>
  <c r="U162" i="1"/>
  <c r="S10" i="3" l="1"/>
  <c r="T10" i="3"/>
  <c r="U10" i="3"/>
  <c r="V10" i="3"/>
  <c r="W10" i="3"/>
  <c r="P73" i="4" l="1"/>
  <c r="N77" i="9" l="1"/>
  <c r="M77" i="9" s="1"/>
  <c r="M96" i="5"/>
  <c r="M94" i="5"/>
  <c r="D29" i="9" l="1"/>
  <c r="M98" i="3" l="1"/>
  <c r="D60" i="5"/>
  <c r="M63" i="5"/>
  <c r="D63" i="5" s="1"/>
  <c r="M49" i="5"/>
  <c r="O69" i="4" l="1"/>
  <c r="O71" i="4"/>
  <c r="O74" i="4"/>
  <c r="O76" i="4"/>
  <c r="P104" i="4"/>
  <c r="P103" i="4" s="1"/>
  <c r="P108" i="4"/>
  <c r="P111" i="4"/>
  <c r="O107" i="4"/>
  <c r="O112" i="4"/>
  <c r="O114" i="4"/>
  <c r="O109" i="4"/>
  <c r="O269" i="6" l="1"/>
  <c r="W427" i="2" l="1"/>
  <c r="W426" i="2" s="1"/>
  <c r="V427" i="2"/>
  <c r="U427" i="2"/>
  <c r="U426" i="2" s="1"/>
  <c r="V426" i="2"/>
  <c r="W424" i="2"/>
  <c r="V424" i="2"/>
  <c r="U424" i="2"/>
  <c r="W422" i="2"/>
  <c r="V422" i="2"/>
  <c r="U422" i="2"/>
  <c r="V421" i="2" l="1"/>
  <c r="U421" i="2"/>
  <c r="W421" i="2"/>
  <c r="O37" i="6"/>
  <c r="O35" i="6"/>
  <c r="O32" i="6"/>
  <c r="O30" i="6"/>
  <c r="U443" i="2" l="1"/>
  <c r="V443" i="2"/>
  <c r="W443" i="2"/>
  <c r="U442" i="2"/>
  <c r="V442" i="2"/>
  <c r="W442" i="2"/>
  <c r="U437" i="2"/>
  <c r="V437" i="2"/>
  <c r="W437" i="2"/>
  <c r="U435" i="2"/>
  <c r="U434" i="2" s="1"/>
  <c r="U433" i="2" s="1"/>
  <c r="V435" i="2"/>
  <c r="W435" i="2"/>
  <c r="W434" i="2" s="1"/>
  <c r="W433" i="2" s="1"/>
  <c r="V434" i="2"/>
  <c r="V433" i="2" s="1"/>
  <c r="U432" i="2"/>
  <c r="V432" i="2"/>
  <c r="W432" i="2"/>
  <c r="U431" i="2"/>
  <c r="V431" i="2"/>
  <c r="W431" i="2"/>
  <c r="W260" i="6"/>
  <c r="W259" i="6" s="1"/>
  <c r="V260" i="6"/>
  <c r="V259" i="6" s="1"/>
  <c r="U260" i="6"/>
  <c r="U259" i="6" s="1"/>
  <c r="W268" i="6"/>
  <c r="W267" i="6" s="1"/>
  <c r="V268" i="6"/>
  <c r="U268" i="6"/>
  <c r="V267" i="6"/>
  <c r="U267" i="6"/>
  <c r="W264" i="6"/>
  <c r="W263" i="6" s="1"/>
  <c r="V264" i="6"/>
  <c r="U264" i="6"/>
  <c r="U263" i="6" s="1"/>
  <c r="V263" i="6"/>
  <c r="O266" i="6"/>
  <c r="O257" i="6"/>
  <c r="P55" i="4"/>
  <c r="O55" i="4"/>
  <c r="O11" i="4"/>
  <c r="O15" i="4"/>
  <c r="W100" i="4"/>
  <c r="V100" i="4"/>
  <c r="V99" i="4" s="1"/>
  <c r="U100" i="4"/>
  <c r="W99" i="4"/>
  <c r="U99" i="4"/>
  <c r="W97" i="4"/>
  <c r="V97" i="4"/>
  <c r="U97" i="4"/>
  <c r="W94" i="4"/>
  <c r="W93" i="4" s="1"/>
  <c r="V94" i="4"/>
  <c r="U94" i="4"/>
  <c r="U93" i="4" s="1"/>
  <c r="V93" i="4"/>
  <c r="W113" i="4"/>
  <c r="W110" i="4" s="1"/>
  <c r="V113" i="4"/>
  <c r="U113" i="4"/>
  <c r="U110" i="4" s="1"/>
  <c r="V110" i="4"/>
  <c r="W108" i="4"/>
  <c r="V108" i="4"/>
  <c r="U108" i="4"/>
  <c r="W104" i="4"/>
  <c r="V104" i="4"/>
  <c r="V103" i="4" s="1"/>
  <c r="U104" i="4"/>
  <c r="W103" i="4"/>
  <c r="U103" i="4"/>
  <c r="W122" i="4"/>
  <c r="V122" i="4"/>
  <c r="U122" i="4"/>
  <c r="W121" i="4"/>
  <c r="V121" i="4"/>
  <c r="U121" i="4"/>
  <c r="D126" i="4"/>
  <c r="D127" i="4"/>
  <c r="U127" i="4"/>
  <c r="U126" i="4" s="1"/>
  <c r="V127" i="4"/>
  <c r="V126" i="4" s="1"/>
  <c r="W127" i="4"/>
  <c r="W126" i="4" s="1"/>
  <c r="T127" i="4"/>
  <c r="T126" i="4" s="1"/>
  <c r="S127" i="4"/>
  <c r="R127" i="4"/>
  <c r="R126" i="4" s="1"/>
  <c r="Q127" i="4"/>
  <c r="P127" i="4"/>
  <c r="P126" i="4" s="1"/>
  <c r="S126" i="4"/>
  <c r="Q126" i="4"/>
  <c r="W50" i="4"/>
  <c r="V50" i="4"/>
  <c r="U50" i="4"/>
  <c r="W48" i="4"/>
  <c r="V48" i="4"/>
  <c r="U48" i="4"/>
  <c r="W47" i="4"/>
  <c r="V47" i="4"/>
  <c r="U47" i="4"/>
  <c r="W45" i="4"/>
  <c r="V45" i="4"/>
  <c r="U45" i="4"/>
  <c r="W41" i="4"/>
  <c r="V41" i="4"/>
  <c r="U41" i="4"/>
  <c r="W40" i="4"/>
  <c r="V40" i="4"/>
  <c r="U40" i="4"/>
  <c r="W62" i="4"/>
  <c r="W61" i="4" s="1"/>
  <c r="V62" i="4"/>
  <c r="U62" i="4"/>
  <c r="U61" i="4" s="1"/>
  <c r="V61" i="4"/>
  <c r="W54" i="4"/>
  <c r="W53" i="4" s="1"/>
  <c r="V54" i="4"/>
  <c r="U54" i="4"/>
  <c r="U53" i="4" s="1"/>
  <c r="V53" i="4"/>
  <c r="W70" i="4"/>
  <c r="V70" i="4"/>
  <c r="U70" i="4"/>
  <c r="W67" i="4"/>
  <c r="V67" i="4"/>
  <c r="U67" i="4"/>
  <c r="W66" i="4"/>
  <c r="V66" i="4"/>
  <c r="U66" i="4"/>
  <c r="W75" i="4"/>
  <c r="V75" i="4"/>
  <c r="U75" i="4"/>
  <c r="W73" i="4"/>
  <c r="V73" i="4"/>
  <c r="U73" i="4"/>
  <c r="W72" i="4"/>
  <c r="V72" i="4"/>
  <c r="U72" i="4"/>
  <c r="W79" i="4"/>
  <c r="W78" i="4" s="1"/>
  <c r="V79" i="4"/>
  <c r="U79" i="4"/>
  <c r="V78" i="4"/>
  <c r="U78" i="4"/>
  <c r="S507" i="2"/>
  <c r="N480" i="2"/>
  <c r="N479" i="2" s="1"/>
  <c r="N478" i="2" s="1"/>
  <c r="O475" i="2"/>
  <c r="O474" i="2" s="1"/>
  <c r="N476" i="2"/>
  <c r="N477" i="2"/>
  <c r="M477" i="2" s="1"/>
  <c r="D477" i="2" s="1"/>
  <c r="O479" i="2"/>
  <c r="O478" i="2" s="1"/>
  <c r="K479" i="2"/>
  <c r="K478" i="2" s="1"/>
  <c r="J479" i="2"/>
  <c r="J478" i="2" s="1"/>
  <c r="K476" i="2"/>
  <c r="J475" i="2"/>
  <c r="J474" i="2" s="1"/>
  <c r="U440" i="2" l="1"/>
  <c r="U439" i="2" s="1"/>
  <c r="V440" i="2"/>
  <c r="V439" i="2" s="1"/>
  <c r="W440" i="2"/>
  <c r="W439" i="2" s="1"/>
  <c r="U430" i="2"/>
  <c r="V430" i="2"/>
  <c r="K475" i="2"/>
  <c r="K474" i="2" s="1"/>
  <c r="M476" i="2"/>
  <c r="D476" i="2" s="1"/>
  <c r="N475" i="2"/>
  <c r="N474" i="2" s="1"/>
  <c r="M480" i="2"/>
  <c r="W430" i="2"/>
  <c r="M475" i="2" l="1"/>
  <c r="M474" i="2" s="1"/>
  <c r="M479" i="2"/>
  <c r="M478" i="2" s="1"/>
  <c r="D480" i="2"/>
  <c r="U34" i="5"/>
  <c r="U33" i="5" s="1"/>
  <c r="V34" i="5"/>
  <c r="V33" i="5" s="1"/>
  <c r="W34" i="5"/>
  <c r="W33" i="5" s="1"/>
  <c r="U36" i="5"/>
  <c r="V36" i="5"/>
  <c r="W36" i="5"/>
  <c r="U41" i="5"/>
  <c r="U38" i="5" s="1"/>
  <c r="V41" i="5"/>
  <c r="V38" i="5" s="1"/>
  <c r="W41" i="5"/>
  <c r="W38" i="5" s="1"/>
  <c r="U45" i="5"/>
  <c r="V45" i="5"/>
  <c r="V44" i="5" s="1"/>
  <c r="W45" i="5"/>
  <c r="U48" i="5"/>
  <c r="U47" i="5" s="1"/>
  <c r="V48" i="5"/>
  <c r="V47" i="5" s="1"/>
  <c r="W48" i="5"/>
  <c r="W47" i="5" s="1"/>
  <c r="U52" i="5"/>
  <c r="U51" i="5" s="1"/>
  <c r="V52" i="5"/>
  <c r="V51" i="5" s="1"/>
  <c r="W52" i="5"/>
  <c r="W51" i="5" s="1"/>
  <c r="U55" i="5"/>
  <c r="V55" i="5"/>
  <c r="W55" i="5"/>
  <c r="U68" i="5"/>
  <c r="U66" i="5" s="1"/>
  <c r="V68" i="5"/>
  <c r="V66" i="5" s="1"/>
  <c r="W68" i="5"/>
  <c r="W66" i="5" s="1"/>
  <c r="U74" i="5"/>
  <c r="V74" i="5"/>
  <c r="W74" i="5"/>
  <c r="U70" i="5"/>
  <c r="U69" i="5" s="1"/>
  <c r="V70" i="5"/>
  <c r="W70" i="5"/>
  <c r="W69" i="5" s="1"/>
  <c r="U80" i="5"/>
  <c r="U76" i="5" s="1"/>
  <c r="V80" i="5"/>
  <c r="V76" i="5" s="1"/>
  <c r="W80" i="5"/>
  <c r="W76" i="5" s="1"/>
  <c r="U92" i="5"/>
  <c r="V92" i="5"/>
  <c r="W92" i="5"/>
  <c r="U98" i="5"/>
  <c r="V98" i="5"/>
  <c r="W98" i="5"/>
  <c r="U105" i="5"/>
  <c r="U104" i="5" s="1"/>
  <c r="V105" i="5"/>
  <c r="V104" i="5" s="1"/>
  <c r="W105" i="5"/>
  <c r="W104" i="5" s="1"/>
  <c r="F20" i="5"/>
  <c r="G20" i="5"/>
  <c r="H20" i="5"/>
  <c r="I20" i="5"/>
  <c r="J20" i="5"/>
  <c r="K20" i="5"/>
  <c r="N20" i="5"/>
  <c r="O20" i="5"/>
  <c r="Q20" i="5"/>
  <c r="R20" i="5"/>
  <c r="F17" i="5"/>
  <c r="G17" i="5"/>
  <c r="H17" i="5"/>
  <c r="I17" i="5"/>
  <c r="J17" i="5"/>
  <c r="K17" i="5"/>
  <c r="P17" i="5"/>
  <c r="Q17" i="5"/>
  <c r="U59" i="5"/>
  <c r="U58" i="5" s="1"/>
  <c r="V59" i="5"/>
  <c r="W59" i="5"/>
  <c r="U62" i="5"/>
  <c r="U61" i="5" s="1"/>
  <c r="V62" i="5"/>
  <c r="V61" i="5" s="1"/>
  <c r="W62" i="5"/>
  <c r="W61" i="5" s="1"/>
  <c r="E63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T61" i="5"/>
  <c r="S61" i="5"/>
  <c r="R61" i="5"/>
  <c r="D61" i="5"/>
  <c r="E60" i="5"/>
  <c r="T59" i="5"/>
  <c r="S59" i="5"/>
  <c r="R59" i="5"/>
  <c r="Q59" i="5"/>
  <c r="P59" i="5"/>
  <c r="O59" i="5"/>
  <c r="N59" i="5"/>
  <c r="M59" i="5"/>
  <c r="L59" i="5"/>
  <c r="L58" i="5" s="1"/>
  <c r="K59" i="5"/>
  <c r="J59" i="5"/>
  <c r="I59" i="5"/>
  <c r="H59" i="5"/>
  <c r="G59" i="5"/>
  <c r="F59" i="5"/>
  <c r="E59" i="5"/>
  <c r="D59" i="5"/>
  <c r="T58" i="5"/>
  <c r="S58" i="5"/>
  <c r="R58" i="5"/>
  <c r="Q58" i="5"/>
  <c r="P58" i="5"/>
  <c r="O58" i="5"/>
  <c r="N58" i="5"/>
  <c r="M58" i="5"/>
  <c r="K58" i="5"/>
  <c r="J58" i="5"/>
  <c r="I58" i="5"/>
  <c r="H58" i="5"/>
  <c r="G58" i="5"/>
  <c r="F58" i="5"/>
  <c r="E58" i="5"/>
  <c r="D58" i="5"/>
  <c r="F68" i="5"/>
  <c r="F66" i="5" s="1"/>
  <c r="G68" i="5"/>
  <c r="G66" i="5" s="1"/>
  <c r="H68" i="5"/>
  <c r="H66" i="5" s="1"/>
  <c r="K68" i="5"/>
  <c r="K66" i="5" s="1"/>
  <c r="P68" i="5"/>
  <c r="P66" i="5" s="1"/>
  <c r="Q68" i="5"/>
  <c r="Q66" i="5" s="1"/>
  <c r="R68" i="5"/>
  <c r="R66" i="5" s="1"/>
  <c r="S68" i="5"/>
  <c r="S66" i="5" s="1"/>
  <c r="T68" i="5"/>
  <c r="T66" i="5" s="1"/>
  <c r="V58" i="5" l="1"/>
  <c r="W44" i="5"/>
  <c r="U44" i="5"/>
  <c r="W58" i="5"/>
  <c r="V69" i="5"/>
  <c r="D113" i="9"/>
  <c r="D112" i="9" s="1"/>
  <c r="X113" i="9"/>
  <c r="X112" i="9"/>
  <c r="N112" i="9"/>
  <c r="M112" i="9"/>
  <c r="L112" i="9"/>
  <c r="O97" i="9"/>
  <c r="O112" i="9" l="1"/>
  <c r="T129" i="9" l="1"/>
  <c r="T128" i="9" s="1"/>
  <c r="T127" i="9" s="1"/>
  <c r="U129" i="9"/>
  <c r="U128" i="9" s="1"/>
  <c r="U127" i="9" s="1"/>
  <c r="V129" i="9"/>
  <c r="V128" i="9" s="1"/>
  <c r="V127" i="9" s="1"/>
  <c r="W129" i="9"/>
  <c r="W128" i="9" s="1"/>
  <c r="W127" i="9" s="1"/>
  <c r="S129" i="9"/>
  <c r="U131" i="9"/>
  <c r="V131" i="9"/>
  <c r="W131" i="9"/>
  <c r="U111" i="9"/>
  <c r="V111" i="9"/>
  <c r="W111" i="9"/>
  <c r="U117" i="9"/>
  <c r="U116" i="9" s="1"/>
  <c r="V117" i="9"/>
  <c r="V116" i="9" s="1"/>
  <c r="W117" i="9"/>
  <c r="W116" i="9" s="1"/>
  <c r="U88" i="9"/>
  <c r="V88" i="9"/>
  <c r="W88" i="9"/>
  <c r="U92" i="9"/>
  <c r="U91" i="9" s="1"/>
  <c r="V92" i="9"/>
  <c r="V91" i="9" s="1"/>
  <c r="W92" i="9"/>
  <c r="W91" i="9" s="1"/>
  <c r="U79" i="9"/>
  <c r="V79" i="9"/>
  <c r="W79" i="9"/>
  <c r="U85" i="9"/>
  <c r="U84" i="9" s="1"/>
  <c r="V85" i="9"/>
  <c r="V84" i="9" s="1"/>
  <c r="W85" i="9"/>
  <c r="W84" i="9" s="1"/>
  <c r="U72" i="9"/>
  <c r="V72" i="9"/>
  <c r="W72" i="9"/>
  <c r="U76" i="9"/>
  <c r="U75" i="9" s="1"/>
  <c r="V76" i="9"/>
  <c r="V75" i="9" s="1"/>
  <c r="W76" i="9"/>
  <c r="W75" i="9" s="1"/>
  <c r="U65" i="9"/>
  <c r="V65" i="9"/>
  <c r="W65" i="9"/>
  <c r="U69" i="9"/>
  <c r="U68" i="9" s="1"/>
  <c r="V69" i="9"/>
  <c r="V68" i="9" s="1"/>
  <c r="W69" i="9"/>
  <c r="W68" i="9" s="1"/>
  <c r="U59" i="9"/>
  <c r="U56" i="9" s="1"/>
  <c r="V59" i="9"/>
  <c r="V56" i="9" s="1"/>
  <c r="W59" i="9"/>
  <c r="W56" i="9" s="1"/>
  <c r="U62" i="9"/>
  <c r="U61" i="9" s="1"/>
  <c r="V62" i="9"/>
  <c r="V61" i="9" s="1"/>
  <c r="W62" i="9"/>
  <c r="W61" i="9" s="1"/>
  <c r="U49" i="9"/>
  <c r="V49" i="9"/>
  <c r="W49" i="9"/>
  <c r="U53" i="9"/>
  <c r="U52" i="9" s="1"/>
  <c r="V53" i="9"/>
  <c r="V52" i="9" s="1"/>
  <c r="W53" i="9"/>
  <c r="W52" i="9" s="1"/>
  <c r="U41" i="9"/>
  <c r="U40" i="9" s="1"/>
  <c r="V41" i="9"/>
  <c r="V40" i="9" s="1"/>
  <c r="W41" i="9"/>
  <c r="W40" i="9" s="1"/>
  <c r="U43" i="9"/>
  <c r="V43" i="9"/>
  <c r="W43" i="9"/>
  <c r="U46" i="9"/>
  <c r="U45" i="9" s="1"/>
  <c r="V46" i="9"/>
  <c r="V45" i="9" s="1"/>
  <c r="W46" i="9"/>
  <c r="W45" i="9" s="1"/>
  <c r="U37" i="9"/>
  <c r="U36" i="9" s="1"/>
  <c r="V37" i="9"/>
  <c r="V36" i="9" s="1"/>
  <c r="W37" i="9"/>
  <c r="W36" i="9" s="1"/>
  <c r="U32" i="9"/>
  <c r="V32" i="9"/>
  <c r="W32" i="9"/>
  <c r="U34" i="9"/>
  <c r="V34" i="9"/>
  <c r="W34" i="9"/>
  <c r="U28" i="9"/>
  <c r="U27" i="9" s="1"/>
  <c r="V28" i="9"/>
  <c r="V27" i="9" s="1"/>
  <c r="W28" i="9"/>
  <c r="W27" i="9" s="1"/>
  <c r="U23" i="9"/>
  <c r="V23" i="9"/>
  <c r="W23" i="9"/>
  <c r="U25" i="9"/>
  <c r="V25" i="9"/>
  <c r="W25" i="9"/>
  <c r="W31" i="9" l="1"/>
  <c r="V31" i="9"/>
  <c r="U31" i="9"/>
  <c r="W22" i="9"/>
  <c r="U22" i="9"/>
  <c r="V22" i="9"/>
  <c r="O78" i="7"/>
  <c r="O76" i="7"/>
  <c r="O73" i="7"/>
  <c r="O71" i="7"/>
  <c r="M70" i="7"/>
  <c r="L70" i="7"/>
  <c r="O64" i="7"/>
  <c r="N184" i="3"/>
  <c r="K184" i="3"/>
  <c r="M184" i="3" s="1"/>
  <c r="D184" i="3" s="1"/>
  <c r="O183" i="3"/>
  <c r="N183" i="3"/>
  <c r="L183" i="3"/>
  <c r="K183" i="3"/>
  <c r="J183" i="3"/>
  <c r="I183" i="3"/>
  <c r="H183" i="3"/>
  <c r="G183" i="3"/>
  <c r="F183" i="3"/>
  <c r="E183" i="3"/>
  <c r="E182" i="3"/>
  <c r="D182" i="3" s="1"/>
  <c r="D181" i="3" s="1"/>
  <c r="O181" i="3"/>
  <c r="N181" i="3"/>
  <c r="M181" i="3"/>
  <c r="L181" i="3"/>
  <c r="K181" i="3"/>
  <c r="J181" i="3"/>
  <c r="I181" i="3"/>
  <c r="H181" i="3"/>
  <c r="G181" i="3"/>
  <c r="F181" i="3"/>
  <c r="E181" i="3"/>
  <c r="O180" i="3"/>
  <c r="N180" i="3"/>
  <c r="L180" i="3"/>
  <c r="K180" i="3"/>
  <c r="J180" i="3"/>
  <c r="I180" i="3"/>
  <c r="H180" i="3"/>
  <c r="G180" i="3"/>
  <c r="F180" i="3"/>
  <c r="E180" i="3"/>
  <c r="N179" i="3"/>
  <c r="L179" i="3"/>
  <c r="K179" i="3"/>
  <c r="E179" i="3"/>
  <c r="O178" i="3"/>
  <c r="O174" i="3" s="1"/>
  <c r="N178" i="3"/>
  <c r="L178" i="3"/>
  <c r="K178" i="3"/>
  <c r="J178" i="3"/>
  <c r="I178" i="3"/>
  <c r="H178" i="3"/>
  <c r="G178" i="3"/>
  <c r="F178" i="3"/>
  <c r="E178" i="3"/>
  <c r="E177" i="3"/>
  <c r="D177" i="3" s="1"/>
  <c r="E176" i="3"/>
  <c r="D176" i="3" s="1"/>
  <c r="D175" i="3" s="1"/>
  <c r="O175" i="3"/>
  <c r="N175" i="3"/>
  <c r="M175" i="3"/>
  <c r="L175" i="3"/>
  <c r="K175" i="3"/>
  <c r="J175" i="3"/>
  <c r="I175" i="3"/>
  <c r="H175" i="3"/>
  <c r="G175" i="3"/>
  <c r="F175" i="3"/>
  <c r="E175" i="3"/>
  <c r="N174" i="3"/>
  <c r="L174" i="3"/>
  <c r="K174" i="3"/>
  <c r="J174" i="3"/>
  <c r="I174" i="3"/>
  <c r="H174" i="3"/>
  <c r="G174" i="3"/>
  <c r="F174" i="3"/>
  <c r="E174" i="3"/>
  <c r="N172" i="3"/>
  <c r="L172" i="3"/>
  <c r="K172" i="3"/>
  <c r="J172" i="3"/>
  <c r="J171" i="3" s="1"/>
  <c r="I172" i="3"/>
  <c r="E172" i="3"/>
  <c r="O171" i="3"/>
  <c r="O168" i="3" s="1"/>
  <c r="N171" i="3"/>
  <c r="L171" i="3"/>
  <c r="K171" i="3"/>
  <c r="I171" i="3"/>
  <c r="H171" i="3"/>
  <c r="G171" i="3"/>
  <c r="F171" i="3"/>
  <c r="E171" i="3"/>
  <c r="N170" i="3"/>
  <c r="N169" i="3" s="1"/>
  <c r="N168" i="3" s="1"/>
  <c r="L170" i="3"/>
  <c r="K170" i="3"/>
  <c r="K169" i="3" s="1"/>
  <c r="K168" i="3" s="1"/>
  <c r="J170" i="3"/>
  <c r="J169" i="3" s="1"/>
  <c r="I170" i="3"/>
  <c r="E170" i="3"/>
  <c r="O169" i="3"/>
  <c r="I169" i="3"/>
  <c r="H169" i="3"/>
  <c r="G169" i="3"/>
  <c r="F169" i="3"/>
  <c r="E169" i="3"/>
  <c r="I168" i="3"/>
  <c r="H168" i="3"/>
  <c r="G168" i="3"/>
  <c r="F168" i="3"/>
  <c r="E168" i="3"/>
  <c r="N167" i="3"/>
  <c r="L167" i="3"/>
  <c r="K167" i="3"/>
  <c r="I167" i="3"/>
  <c r="E167" i="3"/>
  <c r="O166" i="3"/>
  <c r="N166" i="3"/>
  <c r="L166" i="3"/>
  <c r="K166" i="3"/>
  <c r="J166" i="3"/>
  <c r="I166" i="3"/>
  <c r="H166" i="3"/>
  <c r="G166" i="3"/>
  <c r="F166" i="3"/>
  <c r="E166" i="3"/>
  <c r="N165" i="3"/>
  <c r="L165" i="3"/>
  <c r="K165" i="3"/>
  <c r="I165" i="3"/>
  <c r="E165" i="3"/>
  <c r="E164" i="3"/>
  <c r="D164" i="3" s="1"/>
  <c r="O163" i="3"/>
  <c r="N163" i="3"/>
  <c r="L163" i="3"/>
  <c r="K163" i="3"/>
  <c r="J163" i="3"/>
  <c r="I163" i="3"/>
  <c r="H163" i="3"/>
  <c r="G163" i="3"/>
  <c r="F163" i="3"/>
  <c r="E163" i="3"/>
  <c r="O162" i="3"/>
  <c r="N162" i="3"/>
  <c r="L162" i="3"/>
  <c r="K162" i="3"/>
  <c r="J162" i="3"/>
  <c r="I162" i="3"/>
  <c r="H162" i="3"/>
  <c r="G162" i="3"/>
  <c r="F162" i="3"/>
  <c r="E162" i="3"/>
  <c r="U21" i="3"/>
  <c r="V21" i="3"/>
  <c r="W21" i="3"/>
  <c r="U19" i="3"/>
  <c r="V19" i="3"/>
  <c r="W19" i="3"/>
  <c r="U16" i="3"/>
  <c r="V16" i="3"/>
  <c r="W16" i="3"/>
  <c r="U14" i="3"/>
  <c r="V14" i="3"/>
  <c r="W14" i="3"/>
  <c r="T21" i="3"/>
  <c r="T20" i="3" s="1"/>
  <c r="S21" i="3"/>
  <c r="R21" i="3"/>
  <c r="R20" i="3" s="1"/>
  <c r="Q21" i="3"/>
  <c r="Q20" i="3" s="1"/>
  <c r="I21" i="3"/>
  <c r="S20" i="3"/>
  <c r="I20" i="3"/>
  <c r="T19" i="3"/>
  <c r="T18" i="3" s="1"/>
  <c r="T17" i="3" s="1"/>
  <c r="S19" i="3"/>
  <c r="R19" i="3"/>
  <c r="R18" i="3" s="1"/>
  <c r="R17" i="3" s="1"/>
  <c r="Q19" i="3"/>
  <c r="Q18" i="3" s="1"/>
  <c r="P19" i="3"/>
  <c r="P18" i="3" s="1"/>
  <c r="K19" i="3"/>
  <c r="H19" i="3"/>
  <c r="H18" i="3" s="1"/>
  <c r="G19" i="3"/>
  <c r="F19" i="3"/>
  <c r="F18" i="3" s="1"/>
  <c r="S18" i="3"/>
  <c r="S17" i="3" s="1"/>
  <c r="K18" i="3"/>
  <c r="G18" i="3"/>
  <c r="T16" i="3"/>
  <c r="S16" i="3"/>
  <c r="S15" i="3" s="1"/>
  <c r="R16" i="3"/>
  <c r="Q16" i="3"/>
  <c r="Q15" i="3" s="1"/>
  <c r="I16" i="3"/>
  <c r="I15" i="3" s="1"/>
  <c r="T15" i="3"/>
  <c r="R15" i="3"/>
  <c r="T14" i="3"/>
  <c r="S14" i="3"/>
  <c r="R14" i="3"/>
  <c r="Q14" i="3"/>
  <c r="P14" i="3"/>
  <c r="K14" i="3"/>
  <c r="H14" i="3"/>
  <c r="G14" i="3"/>
  <c r="F14" i="3"/>
  <c r="S12" i="3"/>
  <c r="Q12" i="3"/>
  <c r="Q11" i="3" s="1"/>
  <c r="K12" i="3"/>
  <c r="O99" i="3"/>
  <c r="N100" i="3"/>
  <c r="M100" i="3" s="1"/>
  <c r="D100" i="3" s="1"/>
  <c r="D99" i="3" s="1"/>
  <c r="P99" i="3"/>
  <c r="N99" i="3"/>
  <c r="L99" i="3"/>
  <c r="D98" i="3"/>
  <c r="P97" i="3"/>
  <c r="O97" i="3"/>
  <c r="N97" i="3"/>
  <c r="M97" i="3"/>
  <c r="L97" i="3"/>
  <c r="D97" i="3"/>
  <c r="N95" i="3"/>
  <c r="P94" i="3"/>
  <c r="O94" i="3"/>
  <c r="L94" i="3"/>
  <c r="D93" i="3"/>
  <c r="O91" i="3"/>
  <c r="N92" i="3"/>
  <c r="M92" i="3" s="1"/>
  <c r="D92" i="3" s="1"/>
  <c r="D91" i="3" s="1"/>
  <c r="P91" i="3"/>
  <c r="P90" i="3" s="1"/>
  <c r="L91" i="3"/>
  <c r="L90" i="3"/>
  <c r="P21" i="3"/>
  <c r="P20" i="3" s="1"/>
  <c r="O147" i="3"/>
  <c r="O144" i="3" s="1"/>
  <c r="M148" i="3"/>
  <c r="R147" i="3"/>
  <c r="Q147" i="3"/>
  <c r="P147" i="3"/>
  <c r="N147" i="3"/>
  <c r="M147" i="3"/>
  <c r="L147" i="3"/>
  <c r="K147" i="3"/>
  <c r="J147" i="3"/>
  <c r="I147" i="3"/>
  <c r="H147" i="3"/>
  <c r="G147" i="3"/>
  <c r="F147" i="3"/>
  <c r="E147" i="3"/>
  <c r="R145" i="3"/>
  <c r="Q145" i="3"/>
  <c r="P145" i="3"/>
  <c r="O145" i="3"/>
  <c r="N145" i="3"/>
  <c r="M145" i="3"/>
  <c r="L145" i="3"/>
  <c r="K145" i="3"/>
  <c r="J145" i="3"/>
  <c r="I145" i="3"/>
  <c r="H145" i="3"/>
  <c r="G145" i="3"/>
  <c r="F145" i="3"/>
  <c r="E145" i="3"/>
  <c r="D145" i="3"/>
  <c r="R144" i="3"/>
  <c r="Q144" i="3"/>
  <c r="P144" i="3"/>
  <c r="N144" i="3"/>
  <c r="M144" i="3"/>
  <c r="L144" i="3"/>
  <c r="K144" i="3"/>
  <c r="J144" i="3"/>
  <c r="I144" i="3"/>
  <c r="H144" i="3"/>
  <c r="G144" i="3"/>
  <c r="F144" i="3"/>
  <c r="E144" i="3"/>
  <c r="P16" i="3"/>
  <c r="P15" i="3" s="1"/>
  <c r="M143" i="3"/>
  <c r="D143" i="3" s="1"/>
  <c r="D142" i="3" s="1"/>
  <c r="R142" i="3"/>
  <c r="Q142" i="3"/>
  <c r="O142" i="3"/>
  <c r="N142" i="3"/>
  <c r="M142" i="3"/>
  <c r="L142" i="3"/>
  <c r="K142" i="3"/>
  <c r="J142" i="3"/>
  <c r="I142" i="3"/>
  <c r="H142" i="3"/>
  <c r="G142" i="3"/>
  <c r="F142" i="3"/>
  <c r="E142" i="3"/>
  <c r="P139" i="3"/>
  <c r="M140" i="3"/>
  <c r="R139" i="3"/>
  <c r="Q139" i="3"/>
  <c r="Q138" i="3" s="1"/>
  <c r="O23" i="10" s="1"/>
  <c r="O139" i="3"/>
  <c r="O138" i="3" s="1"/>
  <c r="N139" i="3"/>
  <c r="L139" i="3"/>
  <c r="L138" i="3" s="1"/>
  <c r="K139" i="3"/>
  <c r="J139" i="3"/>
  <c r="J138" i="3" s="1"/>
  <c r="I139" i="3"/>
  <c r="H139" i="3"/>
  <c r="H138" i="3" s="1"/>
  <c r="G139" i="3"/>
  <c r="F139" i="3"/>
  <c r="F138" i="3" s="1"/>
  <c r="E139" i="3"/>
  <c r="R138" i="3"/>
  <c r="N138" i="3"/>
  <c r="K138" i="3"/>
  <c r="I138" i="3"/>
  <c r="G138" i="3"/>
  <c r="E138" i="3"/>
  <c r="M160" i="3"/>
  <c r="R159" i="3"/>
  <c r="Q159" i="3"/>
  <c r="P159" i="3"/>
  <c r="P156" i="3" s="1"/>
  <c r="O159" i="3"/>
  <c r="N159" i="3"/>
  <c r="L159" i="3"/>
  <c r="K159" i="3"/>
  <c r="J159" i="3"/>
  <c r="I159" i="3"/>
  <c r="H159" i="3"/>
  <c r="G159" i="3"/>
  <c r="F159" i="3"/>
  <c r="E159" i="3"/>
  <c r="R157" i="3"/>
  <c r="Q157" i="3"/>
  <c r="P157" i="3"/>
  <c r="O157" i="3"/>
  <c r="N157" i="3"/>
  <c r="M157" i="3"/>
  <c r="L157" i="3"/>
  <c r="K157" i="3"/>
  <c r="K156" i="3" s="1"/>
  <c r="J157" i="3"/>
  <c r="I157" i="3"/>
  <c r="I156" i="3" s="1"/>
  <c r="H157" i="3"/>
  <c r="G157" i="3"/>
  <c r="G156" i="3" s="1"/>
  <c r="F157" i="3"/>
  <c r="E157" i="3"/>
  <c r="E156" i="3" s="1"/>
  <c r="D157" i="3"/>
  <c r="R156" i="3"/>
  <c r="N156" i="3"/>
  <c r="L156" i="3"/>
  <c r="J156" i="3"/>
  <c r="H156" i="3"/>
  <c r="F156" i="3"/>
  <c r="M155" i="3"/>
  <c r="D155" i="3" s="1"/>
  <c r="D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E154" i="3"/>
  <c r="M152" i="3"/>
  <c r="R151" i="3"/>
  <c r="R150" i="3" s="1"/>
  <c r="R10" i="3" s="1"/>
  <c r="Q151" i="3"/>
  <c r="P151" i="3"/>
  <c r="P150" i="3" s="1"/>
  <c r="O151" i="3"/>
  <c r="N151" i="3"/>
  <c r="N150" i="3" s="1"/>
  <c r="L151" i="3"/>
  <c r="L150" i="3" s="1"/>
  <c r="K151" i="3"/>
  <c r="J151" i="3"/>
  <c r="J150" i="3" s="1"/>
  <c r="I151" i="3"/>
  <c r="I150" i="3" s="1"/>
  <c r="H151" i="3"/>
  <c r="H150" i="3" s="1"/>
  <c r="G151" i="3"/>
  <c r="F151" i="3"/>
  <c r="F150" i="3" s="1"/>
  <c r="E151" i="3"/>
  <c r="E150" i="3" s="1"/>
  <c r="Q150" i="3"/>
  <c r="Q10" i="3" s="1"/>
  <c r="K150" i="3"/>
  <c r="G150" i="3"/>
  <c r="T159" i="3"/>
  <c r="S159" i="3"/>
  <c r="T157" i="3"/>
  <c r="S157" i="3"/>
  <c r="T156" i="3"/>
  <c r="S156" i="3"/>
  <c r="X155" i="3"/>
  <c r="X154" i="3" s="1"/>
  <c r="X153" i="3"/>
  <c r="X152" i="3"/>
  <c r="X151" i="3"/>
  <c r="X150" i="3" s="1"/>
  <c r="O90" i="3" l="1"/>
  <c r="Q17" i="3"/>
  <c r="P23" i="10"/>
  <c r="D140" i="3"/>
  <c r="D139" i="3" s="1"/>
  <c r="D138" i="3" s="1"/>
  <c r="N24" i="10"/>
  <c r="P24" i="10"/>
  <c r="D148" i="3"/>
  <c r="D147" i="3" s="1"/>
  <c r="D144" i="3" s="1"/>
  <c r="N91" i="3"/>
  <c r="P17" i="3"/>
  <c r="M165" i="3"/>
  <c r="D165" i="3" s="1"/>
  <c r="D163" i="3" s="1"/>
  <c r="M167" i="3"/>
  <c r="D167" i="3" s="1"/>
  <c r="M172" i="3"/>
  <c r="D172" i="3" s="1"/>
  <c r="M179" i="3"/>
  <c r="D179" i="3" s="1"/>
  <c r="O150" i="3"/>
  <c r="M23" i="10" s="1"/>
  <c r="D151" i="3"/>
  <c r="D152" i="3"/>
  <c r="D159" i="3"/>
  <c r="D160" i="3"/>
  <c r="P142" i="3"/>
  <c r="P138" i="3" s="1"/>
  <c r="N23" i="10" s="1"/>
  <c r="N94" i="3"/>
  <c r="N90" i="3" s="1"/>
  <c r="M95" i="3"/>
  <c r="N96" i="3"/>
  <c r="J168" i="3"/>
  <c r="M170" i="3"/>
  <c r="D170" i="3" s="1"/>
  <c r="P12" i="3"/>
  <c r="P11" i="3" s="1"/>
  <c r="R12" i="3"/>
  <c r="R11" i="3" s="1"/>
  <c r="T12" i="3"/>
  <c r="T11" i="3" s="1"/>
  <c r="D150" i="3"/>
  <c r="O96" i="3"/>
  <c r="L96" i="3"/>
  <c r="P96" i="3"/>
  <c r="D96" i="3"/>
  <c r="M183" i="3"/>
  <c r="M180" i="3" s="1"/>
  <c r="D183" i="3"/>
  <c r="D180" i="3" s="1"/>
  <c r="D178" i="3"/>
  <c r="D174" i="3" s="1"/>
  <c r="M178" i="3"/>
  <c r="M174" i="3" s="1"/>
  <c r="M163" i="3"/>
  <c r="M166" i="3"/>
  <c r="M169" i="3"/>
  <c r="M171" i="3"/>
  <c r="L169" i="3"/>
  <c r="L168" i="3" s="1"/>
  <c r="S11" i="3"/>
  <c r="M91" i="3"/>
  <c r="M99" i="3"/>
  <c r="M96" i="3" s="1"/>
  <c r="M139" i="3"/>
  <c r="M138" i="3" s="1"/>
  <c r="O156" i="3"/>
  <c r="M24" i="10" s="1"/>
  <c r="Q156" i="3"/>
  <c r="O24" i="10" s="1"/>
  <c r="D156" i="3"/>
  <c r="M151" i="3"/>
  <c r="M150" i="3" s="1"/>
  <c r="M159" i="3"/>
  <c r="M156" i="3" s="1"/>
  <c r="D95" i="3" l="1"/>
  <c r="D94" i="3" s="1"/>
  <c r="D90" i="3" s="1"/>
  <c r="M94" i="3"/>
  <c r="M90" i="3" s="1"/>
  <c r="M168" i="3"/>
  <c r="D171" i="3"/>
  <c r="D169" i="3"/>
  <c r="D166" i="3"/>
  <c r="D162" i="3" s="1"/>
  <c r="M162" i="3"/>
  <c r="D168" i="3" l="1"/>
  <c r="O212" i="2"/>
  <c r="N209" i="2"/>
  <c r="V162" i="1" l="1"/>
  <c r="V161" i="1"/>
  <c r="V160" i="1"/>
  <c r="V159" i="1"/>
  <c r="V158" i="1"/>
  <c r="V157" i="1"/>
  <c r="V156" i="1"/>
  <c r="V155" i="1"/>
  <c r="V154" i="1"/>
  <c r="V153" i="1"/>
  <c r="V152" i="1"/>
  <c r="P500" i="2" l="1"/>
  <c r="O103" i="8"/>
  <c r="O102" i="8" s="1"/>
  <c r="O101" i="8"/>
  <c r="O100" i="8" s="1"/>
  <c r="O99" i="8" s="1"/>
  <c r="O97" i="8"/>
  <c r="O96" i="8"/>
  <c r="O95" i="8"/>
  <c r="O94" i="8"/>
  <c r="O93" i="8" s="1"/>
  <c r="P195" i="2"/>
  <c r="P194" i="2" s="1"/>
  <c r="O195" i="2"/>
  <c r="O194" i="2" s="1"/>
  <c r="P192" i="2"/>
  <c r="O192" i="2"/>
  <c r="P190" i="2"/>
  <c r="O190" i="2"/>
  <c r="P189" i="2" l="1"/>
  <c r="O189" i="2"/>
  <c r="S37" i="10"/>
  <c r="T37" i="10"/>
  <c r="U37" i="10"/>
  <c r="S36" i="10"/>
  <c r="T36" i="10"/>
  <c r="U36" i="10"/>
  <c r="S19" i="10"/>
  <c r="T19" i="10"/>
  <c r="U19" i="10"/>
  <c r="V27" i="10"/>
  <c r="S9" i="10"/>
  <c r="T9" i="10"/>
  <c r="U9" i="10"/>
  <c r="R14" i="10" l="1"/>
  <c r="S14" i="10"/>
  <c r="T14" i="10"/>
  <c r="U14" i="10"/>
  <c r="R13" i="10"/>
  <c r="S13" i="10"/>
  <c r="T13" i="10"/>
  <c r="U13" i="10"/>
  <c r="S30" i="10"/>
  <c r="T30" i="10"/>
  <c r="U30" i="10"/>
  <c r="S31" i="10"/>
  <c r="T31" i="10"/>
  <c r="U31" i="10"/>
  <c r="P32" i="10"/>
  <c r="Q32" i="10"/>
  <c r="R32" i="10"/>
  <c r="S32" i="10"/>
  <c r="T32" i="10"/>
  <c r="U32" i="10"/>
  <c r="P33" i="10"/>
  <c r="Q33" i="10"/>
  <c r="R33" i="10"/>
  <c r="S33" i="10"/>
  <c r="T33" i="10"/>
  <c r="U33" i="10"/>
  <c r="S34" i="10"/>
  <c r="T34" i="10"/>
  <c r="U34" i="10"/>
  <c r="S35" i="10"/>
  <c r="T35" i="10"/>
  <c r="U35" i="10"/>
  <c r="Q23" i="10"/>
  <c r="R23" i="10"/>
  <c r="S23" i="10"/>
  <c r="T23" i="10"/>
  <c r="U23" i="10"/>
  <c r="S24" i="10"/>
  <c r="T24" i="10"/>
  <c r="U24" i="10"/>
  <c r="O21" i="10"/>
  <c r="P21" i="10"/>
  <c r="Q21" i="10"/>
  <c r="R21" i="10"/>
  <c r="S21" i="10"/>
  <c r="T21" i="10"/>
  <c r="U21" i="10"/>
  <c r="P22" i="10"/>
  <c r="Q22" i="10"/>
  <c r="R22" i="10"/>
  <c r="S22" i="10"/>
  <c r="T22" i="10"/>
  <c r="U22" i="10"/>
  <c r="S20" i="10"/>
  <c r="T20" i="10"/>
  <c r="U20" i="10"/>
  <c r="P17" i="10"/>
  <c r="Q17" i="10"/>
  <c r="R17" i="10"/>
  <c r="S17" i="10"/>
  <c r="T17" i="10"/>
  <c r="U17" i="10"/>
  <c r="Q18" i="10"/>
  <c r="R18" i="10"/>
  <c r="S18" i="10"/>
  <c r="T18" i="10"/>
  <c r="U18" i="10"/>
  <c r="P15" i="10"/>
  <c r="Q15" i="10"/>
  <c r="R15" i="10"/>
  <c r="S15" i="10"/>
  <c r="T15" i="10"/>
  <c r="U15" i="10"/>
  <c r="P16" i="10"/>
  <c r="Q16" i="10"/>
  <c r="R16" i="10"/>
  <c r="S16" i="10"/>
  <c r="T16" i="10"/>
  <c r="U16" i="10"/>
  <c r="R179" i="1" l="1"/>
  <c r="S179" i="1"/>
  <c r="T179" i="1"/>
  <c r="R163" i="1"/>
  <c r="S163" i="1"/>
  <c r="T163" i="1"/>
  <c r="R166" i="1"/>
  <c r="S166" i="1"/>
  <c r="T166" i="1"/>
  <c r="R151" i="1"/>
  <c r="S151" i="1"/>
  <c r="T151" i="1"/>
  <c r="R139" i="1"/>
  <c r="R201" i="1" s="1"/>
  <c r="S139" i="1"/>
  <c r="S201" i="1" s="1"/>
  <c r="T139" i="1"/>
  <c r="T201" i="1" s="1"/>
  <c r="K151" i="1" l="1"/>
  <c r="K163" i="1"/>
  <c r="K166" i="1"/>
  <c r="K179" i="1"/>
  <c r="O70" i="1"/>
  <c r="P70" i="1"/>
  <c r="Q70" i="1"/>
  <c r="R70" i="1"/>
  <c r="S70" i="1"/>
  <c r="T70" i="1"/>
  <c r="R71" i="1"/>
  <c r="S71" i="1"/>
  <c r="T71" i="1"/>
  <c r="R75" i="1"/>
  <c r="R74" i="1" s="1"/>
  <c r="S75" i="1"/>
  <c r="S74" i="1" s="1"/>
  <c r="S85" i="1" s="1"/>
  <c r="T75" i="1"/>
  <c r="T74" i="1" s="1"/>
  <c r="M80" i="1"/>
  <c r="N80" i="1"/>
  <c r="O80" i="1"/>
  <c r="P80" i="1"/>
  <c r="Q80" i="1"/>
  <c r="R85" i="1"/>
  <c r="T85" i="1"/>
  <c r="B101" i="1"/>
  <c r="F101" i="1"/>
  <c r="G101" i="1"/>
  <c r="H101" i="1"/>
  <c r="P101" i="1"/>
  <c r="Q101" i="1"/>
  <c r="R101" i="1"/>
  <c r="S101" i="1"/>
  <c r="T101" i="1"/>
  <c r="B151" i="1"/>
  <c r="C151" i="1"/>
  <c r="D151" i="1"/>
  <c r="E151" i="1"/>
  <c r="F151" i="1"/>
  <c r="G151" i="1"/>
  <c r="H151" i="1"/>
  <c r="I151" i="1"/>
  <c r="J151" i="1"/>
  <c r="L151" i="1"/>
  <c r="M151" i="1"/>
  <c r="N151" i="1"/>
  <c r="O151" i="1"/>
  <c r="P151" i="1"/>
  <c r="Q151" i="1"/>
  <c r="B163" i="1"/>
  <c r="C163" i="1"/>
  <c r="D163" i="1"/>
  <c r="E163" i="1"/>
  <c r="F163" i="1"/>
  <c r="G163" i="1"/>
  <c r="H163" i="1"/>
  <c r="I163" i="1"/>
  <c r="J163" i="1"/>
  <c r="L163" i="1"/>
  <c r="M163" i="1"/>
  <c r="M164" i="1" s="1"/>
  <c r="N163" i="1"/>
  <c r="O163" i="1"/>
  <c r="P163" i="1"/>
  <c r="Q163" i="1"/>
  <c r="Q164" i="1" s="1"/>
  <c r="U163" i="1"/>
  <c r="B164" i="1"/>
  <c r="C164" i="1"/>
  <c r="D164" i="1"/>
  <c r="E164" i="1"/>
  <c r="F164" i="1"/>
  <c r="G164" i="1"/>
  <c r="H164" i="1"/>
  <c r="I164" i="1"/>
  <c r="J164" i="1"/>
  <c r="O164" i="1"/>
  <c r="B166" i="1"/>
  <c r="C166" i="1"/>
  <c r="D166" i="1"/>
  <c r="E166" i="1"/>
  <c r="F166" i="1"/>
  <c r="G166" i="1"/>
  <c r="H166" i="1"/>
  <c r="I166" i="1"/>
  <c r="J166" i="1"/>
  <c r="L166" i="1"/>
  <c r="M166" i="1"/>
  <c r="N166" i="1"/>
  <c r="O166" i="1"/>
  <c r="P166" i="1"/>
  <c r="Q166" i="1"/>
  <c r="B179" i="1"/>
  <c r="C179" i="1"/>
  <c r="D179" i="1"/>
  <c r="E179" i="1"/>
  <c r="F179" i="1"/>
  <c r="G179" i="1"/>
  <c r="H179" i="1"/>
  <c r="I179" i="1"/>
  <c r="J179" i="1"/>
  <c r="L179" i="1"/>
  <c r="M179" i="1"/>
  <c r="N179" i="1"/>
  <c r="O179" i="1"/>
  <c r="P179" i="1"/>
  <c r="Q179" i="1"/>
  <c r="U179" i="1"/>
  <c r="X91" i="4"/>
  <c r="U11" i="5"/>
  <c r="V11" i="5"/>
  <c r="W11" i="5"/>
  <c r="K164" i="1" l="1"/>
  <c r="P164" i="1"/>
  <c r="N164" i="1"/>
  <c r="L164" i="1"/>
  <c r="V10" i="5"/>
  <c r="W10" i="5"/>
  <c r="U10" i="5"/>
  <c r="U151" i="1"/>
  <c r="U164" i="1" s="1"/>
  <c r="U166" i="1"/>
  <c r="X118" i="4"/>
  <c r="W119" i="4"/>
  <c r="W117" i="4" s="1"/>
  <c r="W116" i="4" s="1"/>
  <c r="V119" i="4"/>
  <c r="U119" i="4"/>
  <c r="V117" i="4" l="1"/>
  <c r="V116" i="4" s="1"/>
  <c r="V138" i="4"/>
  <c r="V15" i="4"/>
  <c r="S64" i="1" s="1"/>
  <c r="V11" i="4"/>
  <c r="S59" i="1" s="1"/>
  <c r="U117" i="4"/>
  <c r="U116" i="4" s="1"/>
  <c r="U138" i="4"/>
  <c r="U11" i="4"/>
  <c r="R59" i="1" s="1"/>
  <c r="U15" i="4"/>
  <c r="R64" i="1" s="1"/>
  <c r="W138" i="4"/>
  <c r="W11" i="4"/>
  <c r="T59" i="1" s="1"/>
  <c r="W15" i="4"/>
  <c r="T64" i="1" s="1"/>
  <c r="X203" i="3"/>
  <c r="X200" i="3"/>
  <c r="W153" i="6"/>
  <c r="W152" i="6" s="1"/>
  <c r="V153" i="6"/>
  <c r="V152" i="6" s="1"/>
  <c r="U153" i="6"/>
  <c r="U152" i="6" s="1"/>
  <c r="X151" i="6"/>
  <c r="X150" i="6"/>
  <c r="X149" i="6"/>
  <c r="X148" i="6"/>
  <c r="X147" i="6"/>
  <c r="X146" i="6"/>
  <c r="D147" i="6"/>
  <c r="D146" i="6"/>
  <c r="W144" i="6"/>
  <c r="V144" i="6"/>
  <c r="U144" i="6"/>
  <c r="D142" i="6"/>
  <c r="D141" i="6"/>
  <c r="W140" i="6"/>
  <c r="W139" i="6" s="1"/>
  <c r="V140" i="6"/>
  <c r="V139" i="6" s="1"/>
  <c r="U140" i="6"/>
  <c r="U139" i="6" s="1"/>
  <c r="W136" i="6"/>
  <c r="V136" i="6"/>
  <c r="U136" i="6"/>
  <c r="D133" i="6"/>
  <c r="D132" i="6"/>
  <c r="D131" i="6"/>
  <c r="D129" i="6"/>
  <c r="W126" i="6"/>
  <c r="W20" i="6" s="1"/>
  <c r="V126" i="6"/>
  <c r="V20" i="6" s="1"/>
  <c r="U126" i="6"/>
  <c r="U20" i="6" s="1"/>
  <c r="X133" i="6"/>
  <c r="X132" i="6"/>
  <c r="X131" i="6"/>
  <c r="X129" i="6"/>
  <c r="W122" i="6"/>
  <c r="W18" i="6" s="1"/>
  <c r="V122" i="6"/>
  <c r="V18" i="6" s="1"/>
  <c r="U122" i="6"/>
  <c r="U18" i="6" s="1"/>
  <c r="D124" i="6"/>
  <c r="D123" i="6"/>
  <c r="W116" i="6"/>
  <c r="W15" i="6" s="1"/>
  <c r="V116" i="6"/>
  <c r="V15" i="6" s="1"/>
  <c r="U116" i="6"/>
  <c r="U15" i="6" s="1"/>
  <c r="U135" i="6" l="1"/>
  <c r="U134" i="6" s="1"/>
  <c r="R97" i="1" s="1"/>
  <c r="W135" i="6"/>
  <c r="W134" i="6" s="1"/>
  <c r="T97" i="1" s="1"/>
  <c r="V285" i="6"/>
  <c r="V125" i="6"/>
  <c r="U285" i="6"/>
  <c r="U125" i="6"/>
  <c r="W125" i="6"/>
  <c r="V135" i="6"/>
  <c r="V134" i="6" s="1"/>
  <c r="S97" i="1" s="1"/>
  <c r="U143" i="6"/>
  <c r="U138" i="6" s="1"/>
  <c r="U12" i="6" s="1"/>
  <c r="U286" i="6"/>
  <c r="W143" i="6"/>
  <c r="W138" i="6" s="1"/>
  <c r="W12" i="6" s="1"/>
  <c r="W286" i="6"/>
  <c r="V143" i="6"/>
  <c r="V138" i="6" s="1"/>
  <c r="V12" i="6" s="1"/>
  <c r="V286" i="6"/>
  <c r="W115" i="6"/>
  <c r="W114" i="6" s="1"/>
  <c r="W11" i="6" s="1"/>
  <c r="T13" i="1" s="1"/>
  <c r="W285" i="6"/>
  <c r="V115" i="6"/>
  <c r="V114" i="6" s="1"/>
  <c r="V11" i="6" s="1"/>
  <c r="U115" i="6"/>
  <c r="U114" i="6" s="1"/>
  <c r="U11" i="6" s="1"/>
  <c r="M46" i="13"/>
  <c r="D46" i="13" s="1"/>
  <c r="D28" i="13"/>
  <c r="D25" i="13"/>
  <c r="D23" i="13"/>
  <c r="U10" i="13"/>
  <c r="V10" i="13"/>
  <c r="W10" i="13"/>
  <c r="U11" i="13"/>
  <c r="V11" i="13"/>
  <c r="W11" i="13"/>
  <c r="U14" i="13"/>
  <c r="U13" i="13" s="1"/>
  <c r="V14" i="13"/>
  <c r="V13" i="13" s="1"/>
  <c r="W14" i="13"/>
  <c r="W13" i="13" s="1"/>
  <c r="U16" i="13"/>
  <c r="U15" i="13" s="1"/>
  <c r="V16" i="13"/>
  <c r="V15" i="13" s="1"/>
  <c r="W16" i="13"/>
  <c r="W15" i="13" s="1"/>
  <c r="U19" i="13"/>
  <c r="U18" i="13" s="1"/>
  <c r="U17" i="13" s="1"/>
  <c r="V19" i="13"/>
  <c r="V18" i="13" s="1"/>
  <c r="V17" i="13" s="1"/>
  <c r="W19" i="13"/>
  <c r="W18" i="13" s="1"/>
  <c r="W17" i="13" s="1"/>
  <c r="L99" i="9"/>
  <c r="L96" i="9"/>
  <c r="V9" i="13" l="1"/>
  <c r="W9" i="13"/>
  <c r="U9" i="13"/>
  <c r="V12" i="13"/>
  <c r="W12" i="13"/>
  <c r="U12" i="13"/>
  <c r="M83" i="9" l="1"/>
  <c r="D83" i="9" s="1"/>
  <c r="D77" i="9"/>
  <c r="D54" i="9"/>
  <c r="D51" i="9"/>
  <c r="D38" i="9"/>
  <c r="D35" i="9"/>
  <c r="D33" i="9"/>
  <c r="D26" i="9"/>
  <c r="M118" i="9"/>
  <c r="D118" i="9" s="1"/>
  <c r="M115" i="9"/>
  <c r="D115" i="9" s="1"/>
  <c r="M102" i="9"/>
  <c r="D102" i="9" s="1"/>
  <c r="M97" i="9"/>
  <c r="D97" i="9" s="1"/>
  <c r="M93" i="9"/>
  <c r="D93" i="9" s="1"/>
  <c r="M90" i="9"/>
  <c r="D90" i="9" s="1"/>
  <c r="M86" i="9"/>
  <c r="D86" i="9" s="1"/>
  <c r="M70" i="9"/>
  <c r="D24" i="9"/>
  <c r="U121" i="9"/>
  <c r="V121" i="9"/>
  <c r="W121" i="9"/>
  <c r="U122" i="9"/>
  <c r="V122" i="9"/>
  <c r="W122" i="9"/>
  <c r="U125" i="9"/>
  <c r="R65" i="1" s="1"/>
  <c r="V125" i="9"/>
  <c r="S65" i="1" s="1"/>
  <c r="W125" i="9"/>
  <c r="T65" i="1" s="1"/>
  <c r="U126" i="9"/>
  <c r="V126" i="9"/>
  <c r="W126" i="9"/>
  <c r="U9" i="9"/>
  <c r="V9" i="9"/>
  <c r="W9" i="9"/>
  <c r="U10" i="9"/>
  <c r="V10" i="9"/>
  <c r="W10" i="9"/>
  <c r="U13" i="9"/>
  <c r="U12" i="9" s="1"/>
  <c r="V13" i="9"/>
  <c r="V12" i="9" s="1"/>
  <c r="W13" i="9"/>
  <c r="W12" i="9" s="1"/>
  <c r="U15" i="9"/>
  <c r="U14" i="9" s="1"/>
  <c r="V15" i="9"/>
  <c r="V14" i="9" s="1"/>
  <c r="W15" i="9"/>
  <c r="W14" i="9" s="1"/>
  <c r="U19" i="9"/>
  <c r="V19" i="9"/>
  <c r="W19" i="9"/>
  <c r="V18" i="9" l="1"/>
  <c r="V17" i="9" s="1"/>
  <c r="W18" i="9"/>
  <c r="W17" i="9" s="1"/>
  <c r="U18" i="9"/>
  <c r="U17" i="9" s="1"/>
  <c r="W8" i="9"/>
  <c r="U8" i="9"/>
  <c r="V8" i="9"/>
  <c r="V124" i="9"/>
  <c r="V123" i="9" s="1"/>
  <c r="V120" i="9"/>
  <c r="W124" i="9"/>
  <c r="W123" i="9" s="1"/>
  <c r="U124" i="9"/>
  <c r="U123" i="9" s="1"/>
  <c r="W120" i="9"/>
  <c r="U120" i="9"/>
  <c r="V11" i="9"/>
  <c r="W11" i="9"/>
  <c r="U11" i="9"/>
  <c r="U10" i="7"/>
  <c r="U8" i="7" s="1"/>
  <c r="V10" i="7"/>
  <c r="V8" i="7" s="1"/>
  <c r="W10" i="7"/>
  <c r="W8" i="7" s="1"/>
  <c r="U13" i="7"/>
  <c r="V13" i="7"/>
  <c r="W13" i="7"/>
  <c r="U14" i="7"/>
  <c r="V14" i="7"/>
  <c r="W14" i="7"/>
  <c r="U16" i="7"/>
  <c r="U15" i="7" s="1"/>
  <c r="V16" i="7"/>
  <c r="V15" i="7" s="1"/>
  <c r="W16" i="7"/>
  <c r="W15" i="7" s="1"/>
  <c r="U19" i="7"/>
  <c r="U18" i="7" s="1"/>
  <c r="V19" i="7"/>
  <c r="V18" i="7" s="1"/>
  <c r="W19" i="7"/>
  <c r="W18" i="7" s="1"/>
  <c r="U21" i="7"/>
  <c r="U20" i="7" s="1"/>
  <c r="V21" i="7"/>
  <c r="V20" i="7" s="1"/>
  <c r="W21" i="7"/>
  <c r="W20" i="7" s="1"/>
  <c r="D70" i="7"/>
  <c r="M59" i="7"/>
  <c r="D59" i="7" s="1"/>
  <c r="D121" i="6"/>
  <c r="D119" i="6"/>
  <c r="D118" i="6"/>
  <c r="D117" i="6"/>
  <c r="X266" i="6"/>
  <c r="M154" i="6"/>
  <c r="D154" i="6" s="1"/>
  <c r="M136" i="6"/>
  <c r="M70" i="6"/>
  <c r="D70" i="6" s="1"/>
  <c r="M68" i="6"/>
  <c r="D68" i="6" s="1"/>
  <c r="M65" i="6"/>
  <c r="D65" i="6" s="1"/>
  <c r="M63" i="6"/>
  <c r="D63" i="6" s="1"/>
  <c r="M59" i="6"/>
  <c r="M57" i="6"/>
  <c r="M54" i="6"/>
  <c r="D54" i="6" s="1"/>
  <c r="M52" i="6"/>
  <c r="R24" i="1"/>
  <c r="S24" i="1"/>
  <c r="T24" i="1"/>
  <c r="U19" i="6"/>
  <c r="V19" i="6"/>
  <c r="W19" i="6"/>
  <c r="U22" i="6"/>
  <c r="V22" i="6"/>
  <c r="W22" i="6"/>
  <c r="U25" i="6"/>
  <c r="V25" i="6"/>
  <c r="V21" i="6" s="1"/>
  <c r="W25" i="6"/>
  <c r="M53" i="5"/>
  <c r="U12" i="4"/>
  <c r="R60" i="1" s="1"/>
  <c r="V12" i="4"/>
  <c r="S60" i="1" s="1"/>
  <c r="W12" i="4"/>
  <c r="T60" i="1" s="1"/>
  <c r="U16" i="4"/>
  <c r="R66" i="1" s="1"/>
  <c r="V16" i="4"/>
  <c r="S66" i="1" s="1"/>
  <c r="W16" i="4"/>
  <c r="T66" i="1" s="1"/>
  <c r="U17" i="4"/>
  <c r="R67" i="1" s="1"/>
  <c r="R122" i="1" s="1"/>
  <c r="R184" i="1" s="1"/>
  <c r="V17" i="4"/>
  <c r="S67" i="1" s="1"/>
  <c r="S122" i="1" s="1"/>
  <c r="S184" i="1" s="1"/>
  <c r="W17" i="4"/>
  <c r="T67" i="1" s="1"/>
  <c r="U18" i="4"/>
  <c r="R69" i="1" s="1"/>
  <c r="V18" i="4"/>
  <c r="S69" i="1" s="1"/>
  <c r="W18" i="4"/>
  <c r="T69" i="1" s="1"/>
  <c r="U19" i="4"/>
  <c r="R68" i="1" s="1"/>
  <c r="V19" i="4"/>
  <c r="S68" i="1" s="1"/>
  <c r="W19" i="4"/>
  <c r="T68" i="1" s="1"/>
  <c r="U21" i="4"/>
  <c r="V21" i="4"/>
  <c r="W21" i="4"/>
  <c r="U24" i="4"/>
  <c r="V24" i="4"/>
  <c r="W24" i="4"/>
  <c r="U25" i="4"/>
  <c r="V25" i="4"/>
  <c r="W25" i="4"/>
  <c r="U27" i="4"/>
  <c r="U26" i="4" s="1"/>
  <c r="V27" i="4"/>
  <c r="V26" i="4" s="1"/>
  <c r="W27" i="4"/>
  <c r="W26" i="4" s="1"/>
  <c r="X81" i="4"/>
  <c r="X86" i="4"/>
  <c r="U89" i="4"/>
  <c r="U88" i="4" s="1"/>
  <c r="V89" i="4"/>
  <c r="V88" i="4" s="1"/>
  <c r="W89" i="4"/>
  <c r="W88" i="4" s="1"/>
  <c r="X124" i="4"/>
  <c r="M56" i="5"/>
  <c r="D56" i="5" s="1"/>
  <c r="D49" i="5"/>
  <c r="D53" i="5"/>
  <c r="U15" i="5"/>
  <c r="V15" i="5"/>
  <c r="W15" i="5"/>
  <c r="U17" i="5"/>
  <c r="V17" i="5"/>
  <c r="W17" i="5"/>
  <c r="U20" i="5"/>
  <c r="V20" i="5"/>
  <c r="W20" i="5"/>
  <c r="D59" i="6" l="1"/>
  <c r="D26" i="6" s="1"/>
  <c r="M26" i="6"/>
  <c r="W21" i="6"/>
  <c r="U21" i="6"/>
  <c r="D52" i="6"/>
  <c r="D16" i="6" s="1"/>
  <c r="M16" i="6"/>
  <c r="D57" i="6"/>
  <c r="D23" i="6" s="1"/>
  <c r="D22" i="6" s="1"/>
  <c r="M23" i="6"/>
  <c r="T122" i="1"/>
  <c r="T184" i="1" s="1"/>
  <c r="V14" i="6"/>
  <c r="V13" i="6" s="1"/>
  <c r="W14" i="6"/>
  <c r="U14" i="6"/>
  <c r="V12" i="7"/>
  <c r="V17" i="7"/>
  <c r="W12" i="7"/>
  <c r="U12" i="7"/>
  <c r="W20" i="4"/>
  <c r="T73" i="1"/>
  <c r="U20" i="4"/>
  <c r="R73" i="1"/>
  <c r="S63" i="1"/>
  <c r="S62" i="1" s="1"/>
  <c r="S84" i="1" s="1"/>
  <c r="S58" i="1"/>
  <c r="W23" i="4"/>
  <c r="T102" i="1" s="1"/>
  <c r="T100" i="1" s="1"/>
  <c r="T99" i="1" s="1"/>
  <c r="V20" i="4"/>
  <c r="S73" i="1"/>
  <c r="T63" i="1"/>
  <c r="T62" i="1" s="1"/>
  <c r="T84" i="1" s="1"/>
  <c r="R63" i="1"/>
  <c r="R62" i="1" s="1"/>
  <c r="R84" i="1" s="1"/>
  <c r="T58" i="1"/>
  <c r="R58" i="1"/>
  <c r="W16" i="5"/>
  <c r="U16" i="5"/>
  <c r="V14" i="5"/>
  <c r="V16" i="5"/>
  <c r="W14" i="5"/>
  <c r="W13" i="5" s="1"/>
  <c r="U14" i="5"/>
  <c r="U19" i="5"/>
  <c r="U18" i="5" s="1"/>
  <c r="V19" i="5"/>
  <c r="V18" i="5" s="1"/>
  <c r="W19" i="5"/>
  <c r="W18" i="5" s="1"/>
  <c r="U23" i="4"/>
  <c r="R102" i="1" s="1"/>
  <c r="R100" i="1" s="1"/>
  <c r="R99" i="1" s="1"/>
  <c r="W14" i="4"/>
  <c r="W13" i="4" s="1"/>
  <c r="U14" i="4"/>
  <c r="U13" i="4" s="1"/>
  <c r="W10" i="4"/>
  <c r="U10" i="4"/>
  <c r="V23" i="4"/>
  <c r="S102" i="1" s="1"/>
  <c r="S100" i="1" s="1"/>
  <c r="S99" i="1" s="1"/>
  <c r="V14" i="4"/>
  <c r="V10" i="4"/>
  <c r="W13" i="6"/>
  <c r="U13" i="6"/>
  <c r="W10" i="6"/>
  <c r="U10" i="6"/>
  <c r="V10" i="6"/>
  <c r="W11" i="7"/>
  <c r="U11" i="7"/>
  <c r="W17" i="7"/>
  <c r="U17" i="7"/>
  <c r="V11" i="7"/>
  <c r="W22" i="4"/>
  <c r="U22" i="4"/>
  <c r="U13" i="5"/>
  <c r="M124" i="4"/>
  <c r="M123" i="4"/>
  <c r="E75" i="4"/>
  <c r="F75" i="4"/>
  <c r="G75" i="4"/>
  <c r="H75" i="4"/>
  <c r="I75" i="4"/>
  <c r="J75" i="4"/>
  <c r="K75" i="4"/>
  <c r="L75" i="4"/>
  <c r="E72" i="4"/>
  <c r="F72" i="4"/>
  <c r="G72" i="4"/>
  <c r="H72" i="4"/>
  <c r="I72" i="4"/>
  <c r="J72" i="4"/>
  <c r="K72" i="4"/>
  <c r="L72" i="4"/>
  <c r="E73" i="4"/>
  <c r="F73" i="4"/>
  <c r="G73" i="4"/>
  <c r="H73" i="4"/>
  <c r="I73" i="4"/>
  <c r="J73" i="4"/>
  <c r="K73" i="4"/>
  <c r="L73" i="4"/>
  <c r="E70" i="4"/>
  <c r="F70" i="4"/>
  <c r="G70" i="4"/>
  <c r="H70" i="4"/>
  <c r="I70" i="4"/>
  <c r="J70" i="4"/>
  <c r="K70" i="4"/>
  <c r="L70" i="4"/>
  <c r="E67" i="4"/>
  <c r="E66" i="4" s="1"/>
  <c r="F67" i="4"/>
  <c r="F66" i="4" s="1"/>
  <c r="G67" i="4"/>
  <c r="G66" i="4" s="1"/>
  <c r="H67" i="4"/>
  <c r="H66" i="4" s="1"/>
  <c r="I67" i="4"/>
  <c r="I66" i="4" s="1"/>
  <c r="J67" i="4"/>
  <c r="J66" i="4" s="1"/>
  <c r="K67" i="4"/>
  <c r="K66" i="4" s="1"/>
  <c r="L67" i="4"/>
  <c r="L66" i="4" s="1"/>
  <c r="M112" i="4"/>
  <c r="M107" i="4"/>
  <c r="M106" i="4"/>
  <c r="M96" i="4"/>
  <c r="M91" i="4"/>
  <c r="M90" i="4"/>
  <c r="M86" i="4"/>
  <c r="M85" i="4"/>
  <c r="M81" i="4"/>
  <c r="M80" i="4"/>
  <c r="M55" i="4"/>
  <c r="M51" i="4"/>
  <c r="M49" i="4"/>
  <c r="M44" i="4"/>
  <c r="D124" i="4"/>
  <c r="D123" i="4"/>
  <c r="D112" i="4"/>
  <c r="D107" i="4"/>
  <c r="D106" i="4"/>
  <c r="D96" i="4"/>
  <c r="D91" i="4"/>
  <c r="D90" i="4"/>
  <c r="D86" i="4"/>
  <c r="D85" i="4"/>
  <c r="D81" i="4"/>
  <c r="D80" i="4"/>
  <c r="D55" i="4"/>
  <c r="D51" i="4"/>
  <c r="D49" i="4"/>
  <c r="D44" i="4"/>
  <c r="M42" i="4"/>
  <c r="D42" i="4" s="1"/>
  <c r="U15" i="3"/>
  <c r="V15" i="3"/>
  <c r="W15" i="3"/>
  <c r="U18" i="3"/>
  <c r="V18" i="3"/>
  <c r="W18" i="3"/>
  <c r="U20" i="3"/>
  <c r="V20" i="3"/>
  <c r="W20" i="3"/>
  <c r="U207" i="3"/>
  <c r="V207" i="3"/>
  <c r="W207" i="3"/>
  <c r="U205" i="3"/>
  <c r="V205" i="3"/>
  <c r="W205" i="3"/>
  <c r="V204" i="3"/>
  <c r="V288" i="6" s="1"/>
  <c r="U202" i="3"/>
  <c r="V202" i="3"/>
  <c r="W202" i="3"/>
  <c r="U199" i="3"/>
  <c r="V199" i="3"/>
  <c r="W199" i="3"/>
  <c r="M88" i="3"/>
  <c r="W10" i="8"/>
  <c r="W11" i="8"/>
  <c r="W14" i="8"/>
  <c r="W15" i="8"/>
  <c r="W16" i="8"/>
  <c r="T20" i="1" s="1"/>
  <c r="W17" i="8"/>
  <c r="W19" i="8"/>
  <c r="T26" i="1" s="1"/>
  <c r="W20" i="8"/>
  <c r="W21" i="8"/>
  <c r="T29" i="1" s="1"/>
  <c r="W22" i="8"/>
  <c r="W25" i="8"/>
  <c r="W26" i="8"/>
  <c r="T35" i="1" s="1"/>
  <c r="W27" i="8"/>
  <c r="W28" i="8"/>
  <c r="T34" i="1" s="1"/>
  <c r="T135" i="1" s="1"/>
  <c r="T197" i="1" s="1"/>
  <c r="W31" i="8"/>
  <c r="W32" i="8"/>
  <c r="T43" i="1" s="1"/>
  <c r="T141" i="1" s="1"/>
  <c r="T203" i="1" s="1"/>
  <c r="W33" i="8"/>
  <c r="U10" i="8"/>
  <c r="V10" i="8"/>
  <c r="U11" i="8"/>
  <c r="V11" i="8"/>
  <c r="U14" i="8"/>
  <c r="V14" i="8"/>
  <c r="U15" i="8"/>
  <c r="V15" i="8"/>
  <c r="U16" i="8"/>
  <c r="R20" i="1" s="1"/>
  <c r="R124" i="1" s="1"/>
  <c r="R190" i="1" s="1"/>
  <c r="V16" i="8"/>
  <c r="S20" i="1" s="1"/>
  <c r="S124" i="1" s="1"/>
  <c r="S190" i="1" s="1"/>
  <c r="U17" i="8"/>
  <c r="V17" i="8"/>
  <c r="U19" i="8"/>
  <c r="R26" i="1" s="1"/>
  <c r="V19" i="8"/>
  <c r="S26" i="1" s="1"/>
  <c r="U20" i="8"/>
  <c r="V20" i="8"/>
  <c r="U21" i="8"/>
  <c r="R29" i="1" s="1"/>
  <c r="R129" i="1" s="1"/>
  <c r="R191" i="1" s="1"/>
  <c r="V21" i="8"/>
  <c r="S29" i="1" s="1"/>
  <c r="S129" i="1" s="1"/>
  <c r="S191" i="1" s="1"/>
  <c r="U22" i="8"/>
  <c r="V22" i="8"/>
  <c r="U25" i="8"/>
  <c r="V25" i="8"/>
  <c r="U26" i="8"/>
  <c r="R35" i="1" s="1"/>
  <c r="R140" i="1" s="1"/>
  <c r="R202" i="1" s="1"/>
  <c r="V26" i="8"/>
  <c r="S35" i="1" s="1"/>
  <c r="S140" i="1" s="1"/>
  <c r="S202" i="1" s="1"/>
  <c r="U27" i="8"/>
  <c r="V27" i="8"/>
  <c r="U28" i="8"/>
  <c r="R34" i="1" s="1"/>
  <c r="R135" i="1" s="1"/>
  <c r="R197" i="1" s="1"/>
  <c r="V28" i="8"/>
  <c r="S34" i="1" s="1"/>
  <c r="S135" i="1" s="1"/>
  <c r="S197" i="1" s="1"/>
  <c r="U31" i="8"/>
  <c r="V31" i="8"/>
  <c r="U32" i="8"/>
  <c r="R43" i="1" s="1"/>
  <c r="R141" i="1" s="1"/>
  <c r="R203" i="1" s="1"/>
  <c r="V32" i="8"/>
  <c r="S43" i="1" s="1"/>
  <c r="S141" i="1" s="1"/>
  <c r="S203" i="1" s="1"/>
  <c r="U33" i="8"/>
  <c r="V33" i="8"/>
  <c r="D223" i="8"/>
  <c r="D219" i="8"/>
  <c r="M151" i="8"/>
  <c r="M148" i="8"/>
  <c r="M145" i="8"/>
  <c r="M143" i="8"/>
  <c r="M142" i="8"/>
  <c r="M123" i="8"/>
  <c r="D123" i="8" s="1"/>
  <c r="M67" i="8"/>
  <c r="D67" i="8" s="1"/>
  <c r="M64" i="8"/>
  <c r="D64" i="8" s="1"/>
  <c r="M60" i="8"/>
  <c r="D60" i="8" s="1"/>
  <c r="M57" i="8"/>
  <c r="D57" i="8" s="1"/>
  <c r="M52" i="8"/>
  <c r="D52" i="8" s="1"/>
  <c r="M48" i="8"/>
  <c r="D48" i="8" s="1"/>
  <c r="M41" i="8"/>
  <c r="D41" i="8" s="1"/>
  <c r="M496" i="2"/>
  <c r="D496" i="2" s="1"/>
  <c r="U328" i="2"/>
  <c r="U327" i="2" s="1"/>
  <c r="V328" i="2"/>
  <c r="V327" i="2" s="1"/>
  <c r="W328" i="2"/>
  <c r="W327" i="2" s="1"/>
  <c r="U330" i="2"/>
  <c r="U329" i="2" s="1"/>
  <c r="V330" i="2"/>
  <c r="V329" i="2" s="1"/>
  <c r="W330" i="2"/>
  <c r="W329" i="2" s="1"/>
  <c r="U333" i="2"/>
  <c r="U332" i="2" s="1"/>
  <c r="U331" i="2" s="1"/>
  <c r="S29" i="10" s="1"/>
  <c r="S26" i="10" s="1"/>
  <c r="V333" i="2"/>
  <c r="V332" i="2" s="1"/>
  <c r="V331" i="2" s="1"/>
  <c r="T29" i="10" s="1"/>
  <c r="T26" i="10" s="1"/>
  <c r="W333" i="2"/>
  <c r="W332" i="2" s="1"/>
  <c r="W331" i="2" s="1"/>
  <c r="U29" i="10" s="1"/>
  <c r="U26" i="10" s="1"/>
  <c r="U371" i="2"/>
  <c r="V371" i="2"/>
  <c r="W371" i="2"/>
  <c r="U372" i="2"/>
  <c r="U15" i="2" s="1"/>
  <c r="V372" i="2"/>
  <c r="V15" i="2" s="1"/>
  <c r="W372" i="2"/>
  <c r="W15" i="2" s="1"/>
  <c r="U373" i="2"/>
  <c r="U17" i="2" s="1"/>
  <c r="R126" i="1" s="1"/>
  <c r="R187" i="1" s="1"/>
  <c r="V373" i="2"/>
  <c r="V17" i="2" s="1"/>
  <c r="W373" i="2"/>
  <c r="W17" i="2" s="1"/>
  <c r="T126" i="1" s="1"/>
  <c r="T187" i="1" s="1"/>
  <c r="U375" i="2"/>
  <c r="V375" i="2"/>
  <c r="W375" i="2"/>
  <c r="U376" i="2"/>
  <c r="U22" i="2" s="1"/>
  <c r="R27" i="1" s="1"/>
  <c r="R130" i="1" s="1"/>
  <c r="R192" i="1" s="1"/>
  <c r="V376" i="2"/>
  <c r="V22" i="2" s="1"/>
  <c r="S27" i="1" s="1"/>
  <c r="S130" i="1" s="1"/>
  <c r="S192" i="1" s="1"/>
  <c r="W376" i="2"/>
  <c r="W22" i="2" s="1"/>
  <c r="T27" i="1" s="1"/>
  <c r="U379" i="2"/>
  <c r="U25" i="2" s="1"/>
  <c r="V379" i="2"/>
  <c r="V25" i="2" s="1"/>
  <c r="W379" i="2"/>
  <c r="W25" i="2" s="1"/>
  <c r="U380" i="2"/>
  <c r="U27" i="2" s="1"/>
  <c r="R37" i="1" s="1"/>
  <c r="R138" i="1" s="1"/>
  <c r="R200" i="1" s="1"/>
  <c r="V380" i="2"/>
  <c r="V27" i="2" s="1"/>
  <c r="S37" i="1" s="1"/>
  <c r="S138" i="1" s="1"/>
  <c r="S200" i="1" s="1"/>
  <c r="W380" i="2"/>
  <c r="W27" i="2" s="1"/>
  <c r="T37" i="1" s="1"/>
  <c r="T138" i="1" s="1"/>
  <c r="T200" i="1" s="1"/>
  <c r="U382" i="2"/>
  <c r="V382" i="2"/>
  <c r="W382" i="2"/>
  <c r="U383" i="2"/>
  <c r="U34" i="2" s="1"/>
  <c r="R42" i="1" s="1"/>
  <c r="R145" i="1" s="1"/>
  <c r="R207" i="1" s="1"/>
  <c r="V383" i="2"/>
  <c r="W383" i="2"/>
  <c r="W34" i="2" s="1"/>
  <c r="T42" i="1" s="1"/>
  <c r="T145" i="1" s="1"/>
  <c r="T207" i="1" s="1"/>
  <c r="U414" i="2"/>
  <c r="U413" i="2" s="1"/>
  <c r="V414" i="2"/>
  <c r="V413" i="2" s="1"/>
  <c r="W414" i="2"/>
  <c r="W413" i="2" s="1"/>
  <c r="U416" i="2"/>
  <c r="U415" i="2" s="1"/>
  <c r="V416" i="2"/>
  <c r="V415" i="2" s="1"/>
  <c r="W416" i="2"/>
  <c r="W415" i="2" s="1"/>
  <c r="U419" i="2"/>
  <c r="U418" i="2" s="1"/>
  <c r="U417" i="2" s="1"/>
  <c r="S39" i="10" s="1"/>
  <c r="V419" i="2"/>
  <c r="V418" i="2" s="1"/>
  <c r="V417" i="2" s="1"/>
  <c r="T39" i="10" s="1"/>
  <c r="W419" i="2"/>
  <c r="W418" i="2" s="1"/>
  <c r="W417" i="2" s="1"/>
  <c r="U39" i="10" s="1"/>
  <c r="W38" i="2"/>
  <c r="W39" i="2"/>
  <c r="W16" i="2" s="1"/>
  <c r="T21" i="1" s="1"/>
  <c r="W40" i="2"/>
  <c r="W18" i="2" s="1"/>
  <c r="T23" i="1" s="1"/>
  <c r="W43" i="2"/>
  <c r="W42" i="2" s="1"/>
  <c r="W46" i="2"/>
  <c r="W26" i="2" s="1"/>
  <c r="T36" i="1" s="1"/>
  <c r="T137" i="1" s="1"/>
  <c r="T199" i="1" s="1"/>
  <c r="W47" i="2"/>
  <c r="W28" i="2" s="1"/>
  <c r="T38" i="1" s="1"/>
  <c r="T142" i="1" s="1"/>
  <c r="T204" i="1" s="1"/>
  <c r="W48" i="2"/>
  <c r="W51" i="2"/>
  <c r="W31" i="2" s="1"/>
  <c r="W52" i="2"/>
  <c r="U38" i="2"/>
  <c r="V38" i="2"/>
  <c r="U39" i="2"/>
  <c r="U16" i="2" s="1"/>
  <c r="R21" i="1" s="1"/>
  <c r="R125" i="1" s="1"/>
  <c r="R186" i="1" s="1"/>
  <c r="V39" i="2"/>
  <c r="V16" i="2" s="1"/>
  <c r="S21" i="1" s="1"/>
  <c r="S125" i="1" s="1"/>
  <c r="S186" i="1" s="1"/>
  <c r="U40" i="2"/>
  <c r="U18" i="2" s="1"/>
  <c r="R23" i="1" s="1"/>
  <c r="R128" i="1" s="1"/>
  <c r="R189" i="1" s="1"/>
  <c r="V40" i="2"/>
  <c r="V18" i="2" s="1"/>
  <c r="S23" i="1" s="1"/>
  <c r="S128" i="1" s="1"/>
  <c r="S189" i="1" s="1"/>
  <c r="U43" i="2"/>
  <c r="U42" i="2" s="1"/>
  <c r="V43" i="2"/>
  <c r="V42" i="2" s="1"/>
  <c r="U46" i="2"/>
  <c r="V46" i="2"/>
  <c r="U47" i="2"/>
  <c r="V47" i="2"/>
  <c r="V28" i="2" s="1"/>
  <c r="S38" i="1" s="1"/>
  <c r="S142" i="1" s="1"/>
  <c r="S204" i="1" s="1"/>
  <c r="U48" i="2"/>
  <c r="U29" i="2" s="1"/>
  <c r="R39" i="1" s="1"/>
  <c r="R143" i="1" s="1"/>
  <c r="R205" i="1" s="1"/>
  <c r="V48" i="2"/>
  <c r="V29" i="2" s="1"/>
  <c r="S39" i="1" s="1"/>
  <c r="S143" i="1" s="1"/>
  <c r="S205" i="1" s="1"/>
  <c r="U51" i="2"/>
  <c r="U31" i="2" s="1"/>
  <c r="V51" i="2"/>
  <c r="V31" i="2" s="1"/>
  <c r="U52" i="2"/>
  <c r="U33" i="2" s="1"/>
  <c r="V52" i="2"/>
  <c r="V33" i="2" s="1"/>
  <c r="S45" i="1" s="1"/>
  <c r="U11" i="2"/>
  <c r="V11" i="2"/>
  <c r="W11" i="2"/>
  <c r="U20" i="2"/>
  <c r="U28" i="2"/>
  <c r="R38" i="1" s="1"/>
  <c r="R142" i="1" s="1"/>
  <c r="R204" i="1" s="1"/>
  <c r="W29" i="2"/>
  <c r="T39" i="1" s="1"/>
  <c r="T143" i="1" s="1"/>
  <c r="T205" i="1" s="1"/>
  <c r="V34" i="2"/>
  <c r="S42" i="1" s="1"/>
  <c r="S145" i="1" s="1"/>
  <c r="S207" i="1" s="1"/>
  <c r="M537" i="2"/>
  <c r="M529" i="2"/>
  <c r="D529" i="2" s="1"/>
  <c r="M526" i="2"/>
  <c r="D526" i="2" s="1"/>
  <c r="M521" i="2"/>
  <c r="D521" i="2" s="1"/>
  <c r="M518" i="2"/>
  <c r="D518" i="2" s="1"/>
  <c r="M508" i="2"/>
  <c r="M492" i="2"/>
  <c r="D492" i="2" s="1"/>
  <c r="M489" i="2"/>
  <c r="D489" i="2" s="1"/>
  <c r="M448" i="2"/>
  <c r="M425" i="2"/>
  <c r="D425" i="2" s="1"/>
  <c r="D416" i="2" s="1"/>
  <c r="M395" i="2"/>
  <c r="M388" i="2"/>
  <c r="M269" i="2"/>
  <c r="D269" i="2" s="1"/>
  <c r="M266" i="2"/>
  <c r="D266" i="2" s="1"/>
  <c r="M262" i="2"/>
  <c r="D262" i="2" s="1"/>
  <c r="M250" i="2"/>
  <c r="D250" i="2" s="1"/>
  <c r="M180" i="2"/>
  <c r="D180" i="2" s="1"/>
  <c r="N120" i="2"/>
  <c r="E115" i="2"/>
  <c r="M93" i="2"/>
  <c r="D93" i="2" s="1"/>
  <c r="M86" i="2"/>
  <c r="D86" i="2" s="1"/>
  <c r="M233" i="2"/>
  <c r="D233" i="2" s="1"/>
  <c r="D234" i="2"/>
  <c r="T128" i="1" l="1"/>
  <c r="T189" i="1" s="1"/>
  <c r="T130" i="1"/>
  <c r="T192" i="1" s="1"/>
  <c r="T129" i="1"/>
  <c r="T191" i="1" s="1"/>
  <c r="T124" i="1"/>
  <c r="T190" i="1" s="1"/>
  <c r="T125" i="1"/>
  <c r="T186" i="1" s="1"/>
  <c r="W33" i="2"/>
  <c r="T45" i="1" s="1"/>
  <c r="U14" i="2"/>
  <c r="R18" i="1" s="1"/>
  <c r="R121" i="1" s="1"/>
  <c r="R183" i="1" s="1"/>
  <c r="V32" i="2"/>
  <c r="V30" i="2" s="1"/>
  <c r="V21" i="2"/>
  <c r="S30" i="1" s="1"/>
  <c r="S131" i="1" s="1"/>
  <c r="S193" i="1" s="1"/>
  <c r="W20" i="2"/>
  <c r="T28" i="1" s="1"/>
  <c r="T127" i="1" s="1"/>
  <c r="T188" i="1" s="1"/>
  <c r="R50" i="1"/>
  <c r="R45" i="1"/>
  <c r="V14" i="2"/>
  <c r="V13" i="2" s="1"/>
  <c r="W14" i="2"/>
  <c r="T18" i="1" s="1"/>
  <c r="W32" i="2"/>
  <c r="T44" i="1" s="1"/>
  <c r="T144" i="1" s="1"/>
  <c r="T206" i="1" s="1"/>
  <c r="U32" i="2"/>
  <c r="R44" i="1" s="1"/>
  <c r="R144" i="1" s="1"/>
  <c r="R206" i="1" s="1"/>
  <c r="W21" i="2"/>
  <c r="U21" i="2"/>
  <c r="R30" i="1" s="1"/>
  <c r="V20" i="2"/>
  <c r="V19" i="2" s="1"/>
  <c r="W50" i="2"/>
  <c r="V26" i="2"/>
  <c r="S36" i="1" s="1"/>
  <c r="S137" i="1" s="1"/>
  <c r="S199" i="1" s="1"/>
  <c r="V45" i="2"/>
  <c r="V37" i="2"/>
  <c r="V36" i="2" s="1"/>
  <c r="T7" i="10" s="1"/>
  <c r="W45" i="2"/>
  <c r="W37" i="2"/>
  <c r="W36" i="2" s="1"/>
  <c r="U7" i="10" s="1"/>
  <c r="U26" i="2"/>
  <c r="R36" i="1" s="1"/>
  <c r="R137" i="1" s="1"/>
  <c r="R199" i="1" s="1"/>
  <c r="U45" i="2"/>
  <c r="U37" i="2"/>
  <c r="U36" i="2" s="1"/>
  <c r="S7" i="10" s="1"/>
  <c r="S50" i="1"/>
  <c r="T50" i="1"/>
  <c r="W204" i="3"/>
  <c r="U204" i="3"/>
  <c r="U288" i="6" s="1"/>
  <c r="S126" i="1"/>
  <c r="S187" i="1" s="1"/>
  <c r="W44" i="2"/>
  <c r="V13" i="4"/>
  <c r="V22" i="4"/>
  <c r="V13" i="5"/>
  <c r="S105" i="1"/>
  <c r="W288" i="6"/>
  <c r="U8" i="10"/>
  <c r="T105" i="1"/>
  <c r="R105" i="1"/>
  <c r="V12" i="3"/>
  <c r="W12" i="3"/>
  <c r="W11" i="3" s="1"/>
  <c r="U12" i="3"/>
  <c r="V9" i="2"/>
  <c r="V412" i="2"/>
  <c r="T38" i="10" s="1"/>
  <c r="V381" i="2"/>
  <c r="V378" i="2"/>
  <c r="V374" i="2"/>
  <c r="W370" i="2"/>
  <c r="U370" i="2"/>
  <c r="V326" i="2"/>
  <c r="T28" i="10" s="1"/>
  <c r="T25" i="10" s="1"/>
  <c r="S44" i="1"/>
  <c r="S144" i="1" s="1"/>
  <c r="S206" i="1" s="1"/>
  <c r="S33" i="1"/>
  <c r="S136" i="1" s="1"/>
  <c r="S198" i="1" s="1"/>
  <c r="S19" i="1"/>
  <c r="S123" i="1" s="1"/>
  <c r="S185" i="1" s="1"/>
  <c r="S14" i="1"/>
  <c r="S89" i="1" s="1"/>
  <c r="T33" i="1"/>
  <c r="T136" i="1" s="1"/>
  <c r="T198" i="1" s="1"/>
  <c r="W9" i="2"/>
  <c r="U9" i="2"/>
  <c r="W381" i="2"/>
  <c r="U381" i="2"/>
  <c r="W378" i="2"/>
  <c r="W377" i="2" s="1"/>
  <c r="U12" i="10" s="1"/>
  <c r="U378" i="2"/>
  <c r="U377" i="2" s="1"/>
  <c r="S12" i="10" s="1"/>
  <c r="W374" i="2"/>
  <c r="U374" i="2"/>
  <c r="V370" i="2"/>
  <c r="R33" i="1"/>
  <c r="R136" i="1" s="1"/>
  <c r="R198" i="1" s="1"/>
  <c r="R28" i="1"/>
  <c r="R127" i="1" s="1"/>
  <c r="R188" i="1" s="1"/>
  <c r="R131" i="1"/>
  <c r="R193" i="1" s="1"/>
  <c r="R19" i="1"/>
  <c r="R123" i="1" s="1"/>
  <c r="R185" i="1" s="1"/>
  <c r="R14" i="1"/>
  <c r="R89" i="1" s="1"/>
  <c r="T19" i="1"/>
  <c r="T14" i="1"/>
  <c r="W9" i="8"/>
  <c r="T140" i="1"/>
  <c r="T202" i="1" s="1"/>
  <c r="W198" i="3"/>
  <c r="V198" i="3"/>
  <c r="U198" i="3"/>
  <c r="W17" i="3"/>
  <c r="U17" i="3"/>
  <c r="V11" i="3"/>
  <c r="V17" i="3"/>
  <c r="U11" i="3"/>
  <c r="U30" i="8"/>
  <c r="U24" i="8"/>
  <c r="U18" i="8"/>
  <c r="U13" i="8"/>
  <c r="U9" i="8"/>
  <c r="W18" i="8"/>
  <c r="V30" i="8"/>
  <c r="V24" i="8"/>
  <c r="V18" i="8"/>
  <c r="V13" i="8"/>
  <c r="V9" i="8"/>
  <c r="W30" i="8"/>
  <c r="W24" i="8"/>
  <c r="W13" i="8"/>
  <c r="W12" i="8" s="1"/>
  <c r="V23" i="8"/>
  <c r="V12" i="8"/>
  <c r="U23" i="8"/>
  <c r="U12" i="8"/>
  <c r="W326" i="2"/>
  <c r="U28" i="10" s="1"/>
  <c r="U25" i="10" s="1"/>
  <c r="U326" i="2"/>
  <c r="S28" i="10" s="1"/>
  <c r="S25" i="10" s="1"/>
  <c r="W412" i="2"/>
  <c r="U38" i="10" s="1"/>
  <c r="U412" i="2"/>
  <c r="S38" i="10" s="1"/>
  <c r="U50" i="2"/>
  <c r="V50" i="2"/>
  <c r="V44" i="2" s="1"/>
  <c r="T8" i="10" s="1"/>
  <c r="W24" i="2"/>
  <c r="U13" i="2" l="1"/>
  <c r="T123" i="1"/>
  <c r="T185" i="1" s="1"/>
  <c r="T121" i="1"/>
  <c r="T183" i="1" s="1"/>
  <c r="T89" i="1"/>
  <c r="W13" i="2"/>
  <c r="U24" i="2"/>
  <c r="U30" i="2"/>
  <c r="V369" i="2"/>
  <c r="U19" i="2"/>
  <c r="U369" i="2"/>
  <c r="W19" i="2"/>
  <c r="W369" i="2"/>
  <c r="W12" i="2"/>
  <c r="W30" i="2"/>
  <c r="W23" i="2" s="1"/>
  <c r="T98" i="1" s="1"/>
  <c r="S18" i="1"/>
  <c r="S17" i="1" s="1"/>
  <c r="S28" i="1"/>
  <c r="S127" i="1" s="1"/>
  <c r="S188" i="1" s="1"/>
  <c r="T30" i="1"/>
  <c r="S32" i="1"/>
  <c r="U41" i="10"/>
  <c r="T32" i="1"/>
  <c r="V377" i="2"/>
  <c r="T12" i="10" s="1"/>
  <c r="V24" i="2"/>
  <c r="V23" i="2" s="1"/>
  <c r="S98" i="1" s="1"/>
  <c r="R32" i="1"/>
  <c r="U44" i="2"/>
  <c r="S8" i="10" s="1"/>
  <c r="T40" i="1"/>
  <c r="S10" i="10"/>
  <c r="R91" i="1"/>
  <c r="T10" i="10"/>
  <c r="S91" i="1"/>
  <c r="U10" i="10"/>
  <c r="U42" i="10" s="1"/>
  <c r="T91" i="1"/>
  <c r="T41" i="10"/>
  <c r="R146" i="1"/>
  <c r="R208" i="1" s="1"/>
  <c r="R209" i="1" s="1"/>
  <c r="R51" i="1"/>
  <c r="T146" i="1"/>
  <c r="T208" i="1" s="1"/>
  <c r="T209" i="1" s="1"/>
  <c r="T51" i="1"/>
  <c r="S146" i="1"/>
  <c r="S208" i="1" s="1"/>
  <c r="S209" i="1" s="1"/>
  <c r="S51" i="1"/>
  <c r="U12" i="2"/>
  <c r="T17" i="1"/>
  <c r="R40" i="1"/>
  <c r="R31" i="1" s="1"/>
  <c r="R194" i="1"/>
  <c r="R25" i="1"/>
  <c r="S40" i="1"/>
  <c r="R17" i="1"/>
  <c r="V9" i="3"/>
  <c r="V8" i="3" s="1"/>
  <c r="V289" i="6"/>
  <c r="U9" i="3"/>
  <c r="U8" i="3" s="1"/>
  <c r="U289" i="6"/>
  <c r="W9" i="3"/>
  <c r="W8" i="3" s="1"/>
  <c r="W289" i="6"/>
  <c r="T88" i="1"/>
  <c r="T87" i="1" s="1"/>
  <c r="S13" i="1"/>
  <c r="S41" i="10"/>
  <c r="W23" i="8"/>
  <c r="R132" i="1"/>
  <c r="V12" i="2"/>
  <c r="T131" i="1" l="1"/>
  <c r="T132" i="1" s="1"/>
  <c r="U23" i="2"/>
  <c r="S25" i="1"/>
  <c r="S16" i="1" s="1"/>
  <c r="S47" i="1" s="1"/>
  <c r="T44" i="10" s="1"/>
  <c r="T47" i="10" s="1"/>
  <c r="S31" i="1"/>
  <c r="S48" i="1" s="1"/>
  <c r="S90" i="1" s="1"/>
  <c r="T42" i="10"/>
  <c r="S121" i="1"/>
  <c r="S183" i="1" s="1"/>
  <c r="S194" i="1" s="1"/>
  <c r="T96" i="1"/>
  <c r="T25" i="1"/>
  <c r="T193" i="1"/>
  <c r="T194" i="1" s="1"/>
  <c r="T31" i="1"/>
  <c r="T48" i="1" s="1"/>
  <c r="U45" i="10" s="1"/>
  <c r="U48" i="10" s="1"/>
  <c r="S42" i="10"/>
  <c r="R13" i="1"/>
  <c r="R88" i="1" s="1"/>
  <c r="R87" i="1" s="1"/>
  <c r="R48" i="1"/>
  <c r="S45" i="10" s="1"/>
  <c r="T12" i="1"/>
  <c r="R16" i="1"/>
  <c r="R47" i="1" s="1"/>
  <c r="R120" i="1" s="1"/>
  <c r="S12" i="1"/>
  <c r="S88" i="1"/>
  <c r="S87" i="1" s="1"/>
  <c r="S92" i="1"/>
  <c r="S96" i="1"/>
  <c r="T92" i="1"/>
  <c r="R98" i="1" l="1"/>
  <c r="R92" i="1" s="1"/>
  <c r="T16" i="1"/>
  <c r="T47" i="1" s="1"/>
  <c r="T120" i="1" s="1"/>
  <c r="T182" i="1" s="1"/>
  <c r="S106" i="1"/>
  <c r="T106" i="1"/>
  <c r="S95" i="1"/>
  <c r="S132" i="1"/>
  <c r="T134" i="1"/>
  <c r="T196" i="1" s="1"/>
  <c r="T90" i="1"/>
  <c r="T93" i="1" s="1"/>
  <c r="S120" i="1"/>
  <c r="S195" i="1" s="1"/>
  <c r="S44" i="10"/>
  <c r="S47" i="10" s="1"/>
  <c r="R12" i="1"/>
  <c r="S48" i="10"/>
  <c r="R90" i="1"/>
  <c r="R134" i="1"/>
  <c r="R211" i="1" s="1"/>
  <c r="R212" i="1" s="1"/>
  <c r="R182" i="1"/>
  <c r="R195" i="1"/>
  <c r="S134" i="1"/>
  <c r="S196" i="1" s="1"/>
  <c r="S93" i="1"/>
  <c r="T45" i="10"/>
  <c r="T48" i="10" s="1"/>
  <c r="T95" i="1"/>
  <c r="S103" i="1"/>
  <c r="T195" i="1" l="1"/>
  <c r="U44" i="10"/>
  <c r="U47" i="10" s="1"/>
  <c r="R93" i="1"/>
  <c r="R96" i="1"/>
  <c r="R95" i="1" s="1"/>
  <c r="R106" i="1"/>
  <c r="S182" i="1"/>
  <c r="T211" i="1"/>
  <c r="T212" i="1" s="1"/>
  <c r="D136" i="6"/>
  <c r="T103" i="1"/>
  <c r="R196" i="1"/>
  <c r="S211" i="1"/>
  <c r="S212" i="1" s="1"/>
  <c r="R205" i="3"/>
  <c r="S205" i="3"/>
  <c r="T205" i="3"/>
  <c r="R207" i="3"/>
  <c r="S207" i="3"/>
  <c r="T207" i="3"/>
  <c r="R202" i="3"/>
  <c r="S202" i="3"/>
  <c r="T202" i="3"/>
  <c r="R199" i="3"/>
  <c r="S199" i="3"/>
  <c r="T199" i="3"/>
  <c r="R103" i="1" l="1"/>
  <c r="S198" i="3"/>
  <c r="T204" i="3"/>
  <c r="R204" i="3"/>
  <c r="S204" i="3"/>
  <c r="T198" i="3"/>
  <c r="R198" i="3"/>
  <c r="E26" i="6" l="1"/>
  <c r="F26" i="6"/>
  <c r="G26" i="6"/>
  <c r="X109" i="6"/>
  <c r="E126" i="6" l="1"/>
  <c r="F126" i="6"/>
  <c r="G126" i="6"/>
  <c r="H126" i="6"/>
  <c r="I126" i="6"/>
  <c r="J126" i="6"/>
  <c r="K126" i="6"/>
  <c r="L126" i="6"/>
  <c r="N126" i="6"/>
  <c r="E144" i="6"/>
  <c r="F144" i="6"/>
  <c r="G144" i="6"/>
  <c r="G143" i="6" s="1"/>
  <c r="H144" i="6"/>
  <c r="H143" i="6" s="1"/>
  <c r="I144" i="6"/>
  <c r="I143" i="6" s="1"/>
  <c r="J144" i="6"/>
  <c r="K144" i="6"/>
  <c r="K143" i="6" s="1"/>
  <c r="L144" i="6"/>
  <c r="L143" i="6" s="1"/>
  <c r="N144" i="6"/>
  <c r="O144" i="6"/>
  <c r="O286" i="6" s="1"/>
  <c r="P144" i="6"/>
  <c r="Q144" i="6"/>
  <c r="Q286" i="6" s="1"/>
  <c r="R144" i="6"/>
  <c r="S144" i="6"/>
  <c r="S286" i="6" s="1"/>
  <c r="T144" i="6"/>
  <c r="D151" i="6"/>
  <c r="D150" i="6"/>
  <c r="D149" i="6"/>
  <c r="D148" i="6"/>
  <c r="M149" i="6"/>
  <c r="J143" i="6"/>
  <c r="F143" i="6"/>
  <c r="X140" i="6"/>
  <c r="X139" i="6" s="1"/>
  <c r="T140" i="6"/>
  <c r="T139" i="6" s="1"/>
  <c r="S140" i="6"/>
  <c r="S139" i="6" s="1"/>
  <c r="R140" i="6"/>
  <c r="R139" i="6" s="1"/>
  <c r="Q140" i="6"/>
  <c r="Q139" i="6" s="1"/>
  <c r="P140" i="6"/>
  <c r="P139" i="6" s="1"/>
  <c r="O140" i="6"/>
  <c r="O139" i="6" s="1"/>
  <c r="N140" i="6"/>
  <c r="N139" i="6" s="1"/>
  <c r="L140" i="6"/>
  <c r="L139" i="6" s="1"/>
  <c r="K140" i="6"/>
  <c r="K139" i="6" s="1"/>
  <c r="J140" i="6"/>
  <c r="J139" i="6" s="1"/>
  <c r="I140" i="6"/>
  <c r="I139" i="6" s="1"/>
  <c r="H140" i="6"/>
  <c r="H139" i="6" s="1"/>
  <c r="G140" i="6"/>
  <c r="G139" i="6" s="1"/>
  <c r="F140" i="6"/>
  <c r="F139" i="6" s="1"/>
  <c r="E140" i="6"/>
  <c r="T130" i="6"/>
  <c r="T126" i="6" s="1"/>
  <c r="T20" i="6" s="1"/>
  <c r="S130" i="6"/>
  <c r="S126" i="6" s="1"/>
  <c r="S20" i="6" s="1"/>
  <c r="R130" i="6"/>
  <c r="R126" i="6" s="1"/>
  <c r="R20" i="6" s="1"/>
  <c r="P130" i="6"/>
  <c r="E116" i="6"/>
  <c r="F116" i="6"/>
  <c r="F15" i="6" s="1"/>
  <c r="G116" i="6"/>
  <c r="G15" i="6" s="1"/>
  <c r="H116" i="6"/>
  <c r="H15" i="6" s="1"/>
  <c r="I116" i="6"/>
  <c r="I15" i="6" s="1"/>
  <c r="J116" i="6"/>
  <c r="K116" i="6"/>
  <c r="L116" i="6"/>
  <c r="N116" i="6"/>
  <c r="X122" i="6"/>
  <c r="E122" i="6"/>
  <c r="F122" i="6"/>
  <c r="G122" i="6"/>
  <c r="H122" i="6"/>
  <c r="I122" i="6"/>
  <c r="J122" i="6"/>
  <c r="K122" i="6"/>
  <c r="L122" i="6"/>
  <c r="N122" i="6"/>
  <c r="O122" i="6"/>
  <c r="O18" i="6" s="1"/>
  <c r="P122" i="6"/>
  <c r="P18" i="6" s="1"/>
  <c r="Q122" i="6"/>
  <c r="Q18" i="6" s="1"/>
  <c r="R122" i="6"/>
  <c r="R18" i="6" s="1"/>
  <c r="S122" i="6"/>
  <c r="S18" i="6" s="1"/>
  <c r="T122" i="6"/>
  <c r="T18" i="6" s="1"/>
  <c r="X121" i="6"/>
  <c r="X119" i="6"/>
  <c r="X118" i="6"/>
  <c r="T120" i="6"/>
  <c r="S120" i="6"/>
  <c r="R120" i="6"/>
  <c r="P120" i="6"/>
  <c r="Q143" i="6" l="1"/>
  <c r="S143" i="6"/>
  <c r="S138" i="6" s="1"/>
  <c r="P24" i="1"/>
  <c r="L24" i="1"/>
  <c r="X18" i="6"/>
  <c r="X120" i="6"/>
  <c r="X116" i="6" s="1"/>
  <c r="X15" i="6" s="1"/>
  <c r="X130" i="6"/>
  <c r="D120" i="6"/>
  <c r="O126" i="6"/>
  <c r="D130" i="6"/>
  <c r="D128" i="6"/>
  <c r="X128" i="6"/>
  <c r="N24" i="1"/>
  <c r="O143" i="6"/>
  <c r="O138" i="6" s="1"/>
  <c r="T143" i="6"/>
  <c r="T138" i="6" s="1"/>
  <c r="T286" i="6"/>
  <c r="R143" i="6"/>
  <c r="R138" i="6" s="1"/>
  <c r="R286" i="6"/>
  <c r="P143" i="6"/>
  <c r="P138" i="6" s="1"/>
  <c r="P286" i="6"/>
  <c r="N143" i="6"/>
  <c r="N138" i="6" s="1"/>
  <c r="N286" i="6"/>
  <c r="E15" i="6"/>
  <c r="M116" i="6"/>
  <c r="M15" i="6" s="1"/>
  <c r="E143" i="6"/>
  <c r="M144" i="6"/>
  <c r="E18" i="6"/>
  <c r="M122" i="6"/>
  <c r="E139" i="6"/>
  <c r="E138" i="6" s="1"/>
  <c r="M140" i="6"/>
  <c r="X144" i="6"/>
  <c r="X143" i="6" s="1"/>
  <c r="X138" i="6" s="1"/>
  <c r="M126" i="6"/>
  <c r="E115" i="6"/>
  <c r="Q24" i="1"/>
  <c r="O24" i="1"/>
  <c r="M24" i="1"/>
  <c r="N18" i="6"/>
  <c r="K24" i="1" s="1"/>
  <c r="L18" i="6"/>
  <c r="J18" i="6"/>
  <c r="H18" i="6"/>
  <c r="F18" i="6"/>
  <c r="G138" i="6"/>
  <c r="I138" i="6"/>
  <c r="K138" i="6"/>
  <c r="Q138" i="6"/>
  <c r="D294" i="6"/>
  <c r="K115" i="6"/>
  <c r="K18" i="6"/>
  <c r="I115" i="6"/>
  <c r="I18" i="6"/>
  <c r="G115" i="6"/>
  <c r="G18" i="6"/>
  <c r="P126" i="6"/>
  <c r="P20" i="6" s="1"/>
  <c r="Q126" i="6"/>
  <c r="Q20" i="6" s="1"/>
  <c r="F138" i="6"/>
  <c r="H138" i="6"/>
  <c r="J138" i="6"/>
  <c r="L138" i="6"/>
  <c r="T116" i="6"/>
  <c r="T15" i="6" s="1"/>
  <c r="R116" i="6"/>
  <c r="R15" i="6" s="1"/>
  <c r="P116" i="6"/>
  <c r="P15" i="6" s="1"/>
  <c r="N115" i="6"/>
  <c r="L115" i="6"/>
  <c r="J115" i="6"/>
  <c r="H115" i="6"/>
  <c r="F115" i="6"/>
  <c r="S116" i="6"/>
  <c r="S15" i="6" s="1"/>
  <c r="Q116" i="6"/>
  <c r="Q15" i="6" s="1"/>
  <c r="O116" i="6"/>
  <c r="O15" i="6" s="1"/>
  <c r="D122" i="6" l="1"/>
  <c r="M18" i="6"/>
  <c r="R285" i="6"/>
  <c r="S285" i="6"/>
  <c r="T285" i="6"/>
  <c r="P285" i="6"/>
  <c r="D144" i="6"/>
  <c r="M286" i="6"/>
  <c r="M115" i="6"/>
  <c r="J24" i="1"/>
  <c r="U24" i="1" s="1"/>
  <c r="M285" i="6"/>
  <c r="Q285" i="6"/>
  <c r="O115" i="6"/>
  <c r="O285" i="6"/>
  <c r="M143" i="6"/>
  <c r="D126" i="6"/>
  <c r="D125" i="6" s="1"/>
  <c r="D140" i="6"/>
  <c r="M139" i="6"/>
  <c r="D116" i="6"/>
  <c r="D15" i="6" s="1"/>
  <c r="X115" i="6"/>
  <c r="X126" i="6"/>
  <c r="S115" i="6"/>
  <c r="R115" i="6"/>
  <c r="Q115" i="6"/>
  <c r="P115" i="6"/>
  <c r="T115" i="6"/>
  <c r="D18" i="6" l="1"/>
  <c r="D14" i="6" s="1"/>
  <c r="X24" i="1"/>
  <c r="Y24" i="1" s="1"/>
  <c r="D281" i="6"/>
  <c r="M138" i="6"/>
  <c r="D286" i="6"/>
  <c r="D143" i="6"/>
  <c r="D278" i="6" s="1"/>
  <c r="D293" i="6"/>
  <c r="D285" i="6"/>
  <c r="D115" i="6"/>
  <c r="D139" i="6"/>
  <c r="O153" i="6"/>
  <c r="O152" i="6" s="1"/>
  <c r="T153" i="6"/>
  <c r="T152" i="6" s="1"/>
  <c r="S153" i="6"/>
  <c r="R153" i="6"/>
  <c r="R152" i="6" s="1"/>
  <c r="Q153" i="6"/>
  <c r="Q152" i="6" s="1"/>
  <c r="P153" i="6"/>
  <c r="P152" i="6" s="1"/>
  <c r="N153" i="6"/>
  <c r="N152" i="6" s="1"/>
  <c r="L153" i="6"/>
  <c r="L152" i="6" s="1"/>
  <c r="J153" i="6"/>
  <c r="J152" i="6" s="1"/>
  <c r="I153" i="6"/>
  <c r="I152" i="6" s="1"/>
  <c r="H153" i="6"/>
  <c r="H152" i="6" s="1"/>
  <c r="G153" i="6"/>
  <c r="G152" i="6" s="1"/>
  <c r="F153" i="6"/>
  <c r="F152" i="6" s="1"/>
  <c r="E153" i="6"/>
  <c r="E152" i="6" s="1"/>
  <c r="S152" i="6"/>
  <c r="H136" i="6"/>
  <c r="T135" i="6"/>
  <c r="T134" i="6" s="1"/>
  <c r="S135" i="6"/>
  <c r="R135" i="6"/>
  <c r="R134" i="6" s="1"/>
  <c r="Q135" i="6"/>
  <c r="Q134" i="6" s="1"/>
  <c r="P135" i="6"/>
  <c r="P134" i="6" s="1"/>
  <c r="O135" i="6"/>
  <c r="O134" i="6" s="1"/>
  <c r="N135" i="6"/>
  <c r="N134" i="6" s="1"/>
  <c r="L135" i="6"/>
  <c r="L134" i="6" s="1"/>
  <c r="K135" i="6"/>
  <c r="J135" i="6"/>
  <c r="J134" i="6" s="1"/>
  <c r="I135" i="6"/>
  <c r="I134" i="6" s="1"/>
  <c r="H135" i="6"/>
  <c r="H134" i="6" s="1"/>
  <c r="G135" i="6"/>
  <c r="G134" i="6" s="1"/>
  <c r="F135" i="6"/>
  <c r="F134" i="6" s="1"/>
  <c r="E135" i="6"/>
  <c r="E134" i="6" s="1"/>
  <c r="S134" i="6"/>
  <c r="K134" i="6"/>
  <c r="M131" i="6"/>
  <c r="L125" i="6"/>
  <c r="L114" i="6" s="1"/>
  <c r="X125" i="6"/>
  <c r="K125" i="6"/>
  <c r="K114" i="6" s="1"/>
  <c r="J125" i="6"/>
  <c r="J114" i="6" s="1"/>
  <c r="I125" i="6"/>
  <c r="I114" i="6" s="1"/>
  <c r="H125" i="6"/>
  <c r="H114" i="6" s="1"/>
  <c r="G125" i="6"/>
  <c r="G114" i="6" s="1"/>
  <c r="F125" i="6"/>
  <c r="F114" i="6" s="1"/>
  <c r="E125" i="6"/>
  <c r="E114" i="6" s="1"/>
  <c r="T125" i="6"/>
  <c r="T114" i="6" s="1"/>
  <c r="S125" i="6"/>
  <c r="S114" i="6" s="1"/>
  <c r="R125" i="6"/>
  <c r="R114" i="6" s="1"/>
  <c r="Q125" i="6"/>
  <c r="Q114" i="6" s="1"/>
  <c r="P125" i="6"/>
  <c r="P114" i="6" s="1"/>
  <c r="S289" i="6" l="1"/>
  <c r="R289" i="6"/>
  <c r="T289" i="6"/>
  <c r="S288" i="6"/>
  <c r="R288" i="6"/>
  <c r="T288" i="6"/>
  <c r="D135" i="6"/>
  <c r="D134" i="6" s="1"/>
  <c r="N125" i="6"/>
  <c r="N114" i="6" s="1"/>
  <c r="M125" i="6"/>
  <c r="M114" i="6" s="1"/>
  <c r="M135" i="6"/>
  <c r="M134" i="6" s="1"/>
  <c r="D153" i="6"/>
  <c r="D152" i="6" s="1"/>
  <c r="D274" i="6" s="1"/>
  <c r="M153" i="6"/>
  <c r="M152" i="6" s="1"/>
  <c r="D138" i="6"/>
  <c r="K153" i="6"/>
  <c r="K152" i="6" s="1"/>
  <c r="O265" i="6"/>
  <c r="D273" i="6" l="1"/>
  <c r="D275" i="6" s="1"/>
  <c r="O125" i="6"/>
  <c r="D277" i="6" s="1"/>
  <c r="D114" i="6"/>
  <c r="X500" i="2"/>
  <c r="O114" i="6" l="1"/>
  <c r="D279" i="6"/>
  <c r="D283" i="6" s="1"/>
  <c r="P40" i="7"/>
  <c r="O40" i="7"/>
  <c r="T12" i="4" l="1"/>
  <c r="F12" i="4"/>
  <c r="G12" i="4"/>
  <c r="H12" i="4"/>
  <c r="I12" i="4"/>
  <c r="L12" i="4"/>
  <c r="P12" i="4"/>
  <c r="Q12" i="4"/>
  <c r="R12" i="4"/>
  <c r="S12" i="4"/>
  <c r="X41" i="13"/>
  <c r="X40" i="13" s="1"/>
  <c r="X43" i="13"/>
  <c r="X42" i="13" s="1"/>
  <c r="X34" i="13"/>
  <c r="X33" i="13" s="1"/>
  <c r="X32" i="13"/>
  <c r="X31" i="13" s="1"/>
  <c r="X25" i="13"/>
  <c r="X24" i="13" s="1"/>
  <c r="X23" i="13"/>
  <c r="X22" i="13" s="1"/>
  <c r="X98" i="8"/>
  <c r="X123" i="8"/>
  <c r="X126" i="8"/>
  <c r="X125" i="8" s="1"/>
  <c r="X124" i="8"/>
  <c r="X122" i="8"/>
  <c r="X121" i="8" s="1"/>
  <c r="X189" i="8"/>
  <c r="X182" i="8"/>
  <c r="X219" i="8"/>
  <c r="X220" i="8"/>
  <c r="X218" i="8" s="1"/>
  <c r="X217" i="8" s="1"/>
  <c r="X190" i="8"/>
  <c r="X135" i="8"/>
  <c r="X134" i="8" s="1"/>
  <c r="X133" i="8" s="1"/>
  <c r="X112" i="8"/>
  <c r="X110" i="8" s="1"/>
  <c r="X111" i="8"/>
  <c r="X19" i="8" s="1"/>
  <c r="X109" i="8"/>
  <c r="X108" i="8"/>
  <c r="X97" i="8"/>
  <c r="X96" i="8" s="1"/>
  <c r="X95" i="8"/>
  <c r="X94" i="8" s="1"/>
  <c r="X43" i="8"/>
  <c r="X42" i="8"/>
  <c r="X41" i="8"/>
  <c r="X39" i="8"/>
  <c r="X38" i="8"/>
  <c r="X37" i="8"/>
  <c r="X36" i="7"/>
  <c r="X48" i="7"/>
  <c r="X60" i="7"/>
  <c r="X72" i="7"/>
  <c r="X84" i="7"/>
  <c r="X83" i="7"/>
  <c r="X81" i="7" s="1"/>
  <c r="X80" i="7" s="1"/>
  <c r="X71" i="7"/>
  <c r="X69" i="7" s="1"/>
  <c r="X68" i="7" s="1"/>
  <c r="X58" i="7"/>
  <c r="X57" i="7" s="1"/>
  <c r="X56" i="7" s="1"/>
  <c r="X46" i="7"/>
  <c r="X45" i="7" s="1"/>
  <c r="X44" i="7" s="1"/>
  <c r="X35" i="7"/>
  <c r="X33" i="7" s="1"/>
  <c r="X32" i="7" s="1"/>
  <c r="X15" i="7"/>
  <c r="X265" i="6"/>
  <c r="X108" i="6"/>
  <c r="X107" i="6"/>
  <c r="X98" i="6"/>
  <c r="X97" i="6" s="1"/>
  <c r="X96" i="6"/>
  <c r="X95" i="6" s="1"/>
  <c r="X86" i="6"/>
  <c r="X85" i="6" s="1"/>
  <c r="X84" i="6" s="1"/>
  <c r="X74" i="6"/>
  <c r="X65" i="6"/>
  <c r="X64" i="6" s="1"/>
  <c r="X63" i="6"/>
  <c r="X62" i="6" s="1"/>
  <c r="X54" i="6"/>
  <c r="X53" i="6" s="1"/>
  <c r="X52" i="6"/>
  <c r="X51" i="6" s="1"/>
  <c r="X43" i="6"/>
  <c r="X41" i="6"/>
  <c r="X40" i="6" s="1"/>
  <c r="X39" i="6" s="1"/>
  <c r="X32" i="6"/>
  <c r="X20" i="6" s="1"/>
  <c r="X30" i="6"/>
  <c r="X29" i="6" s="1"/>
  <c r="X122" i="4"/>
  <c r="X121" i="4" s="1"/>
  <c r="X107" i="4"/>
  <c r="X106" i="4"/>
  <c r="X108" i="4"/>
  <c r="X104" i="4"/>
  <c r="X103" i="4" s="1"/>
  <c r="X97" i="4"/>
  <c r="X96" i="4"/>
  <c r="X94" i="4" s="1"/>
  <c r="X93" i="4" s="1"/>
  <c r="X89" i="4"/>
  <c r="X88" i="4" s="1"/>
  <c r="X84" i="4"/>
  <c r="X83" i="4" s="1"/>
  <c r="X79" i="4"/>
  <c r="X78" i="4" s="1"/>
  <c r="X69" i="4"/>
  <c r="X68" i="4"/>
  <c r="X58" i="4"/>
  <c r="X57" i="4"/>
  <c r="X56" i="4"/>
  <c r="X45" i="4"/>
  <c r="X44" i="4"/>
  <c r="X43" i="4"/>
  <c r="X19" i="4"/>
  <c r="X457" i="2"/>
  <c r="X392" i="2"/>
  <c r="X537" i="2"/>
  <c r="X536" i="2" s="1"/>
  <c r="X535" i="2" s="1"/>
  <c r="X526" i="2"/>
  <c r="X518" i="2"/>
  <c r="X505" i="2"/>
  <c r="X499" i="2"/>
  <c r="X498" i="2" s="1"/>
  <c r="X496" i="2"/>
  <c r="X495" i="2" s="1"/>
  <c r="X494" i="2" s="1"/>
  <c r="X489" i="2"/>
  <c r="X488" i="2"/>
  <c r="X487" i="2" s="1"/>
  <c r="X486" i="2" s="1"/>
  <c r="X484" i="2"/>
  <c r="X483" i="2" s="1"/>
  <c r="X482" i="2" s="1"/>
  <c r="X477" i="2"/>
  <c r="X476" i="2"/>
  <c r="X467" i="2"/>
  <c r="X466" i="2" s="1"/>
  <c r="X456" i="2"/>
  <c r="X455" i="2" s="1"/>
  <c r="X454" i="2" s="1"/>
  <c r="X436" i="2"/>
  <c r="X425" i="2"/>
  <c r="X424" i="2" s="1"/>
  <c r="X423" i="2"/>
  <c r="X422" i="2" s="1"/>
  <c r="X407" i="2"/>
  <c r="X406" i="2" s="1"/>
  <c r="X405" i="2"/>
  <c r="X404" i="2" s="1"/>
  <c r="X391" i="2"/>
  <c r="X387" i="2"/>
  <c r="X389" i="2"/>
  <c r="X388" i="2"/>
  <c r="X349" i="2"/>
  <c r="X348" i="2" s="1"/>
  <c r="X347" i="2"/>
  <c r="X346" i="2" s="1"/>
  <c r="X339" i="2"/>
  <c r="X338" i="2" s="1"/>
  <c r="X337" i="2"/>
  <c r="X336" i="2" s="1"/>
  <c r="X281" i="2"/>
  <c r="X280" i="2" s="1"/>
  <c r="X278" i="2"/>
  <c r="X277" i="2" s="1"/>
  <c r="X269" i="2"/>
  <c r="X268" i="2" s="1"/>
  <c r="X266" i="2"/>
  <c r="X265" i="2" s="1"/>
  <c r="X255" i="2"/>
  <c r="X253" i="2" s="1"/>
  <c r="X250" i="2"/>
  <c r="X249" i="2" s="1"/>
  <c r="X243" i="2"/>
  <c r="X242" i="2" s="1"/>
  <c r="X241" i="2"/>
  <c r="X240" i="2" s="1"/>
  <c r="X230" i="2"/>
  <c r="X229" i="2" s="1"/>
  <c r="X226" i="2"/>
  <c r="X225" i="2" s="1"/>
  <c r="X218" i="2"/>
  <c r="X217" i="2" s="1"/>
  <c r="X202" i="2"/>
  <c r="X201" i="2" s="1"/>
  <c r="X200" i="2"/>
  <c r="X199" i="2" s="1"/>
  <c r="X193" i="2"/>
  <c r="X192" i="2" s="1"/>
  <c r="X191" i="2"/>
  <c r="X190" i="2" s="1"/>
  <c r="X182" i="2"/>
  <c r="X181" i="2" s="1"/>
  <c r="X180" i="2"/>
  <c r="X179" i="2"/>
  <c r="X172" i="2"/>
  <c r="X171" i="2" s="1"/>
  <c r="X170" i="2"/>
  <c r="X169" i="2" s="1"/>
  <c r="X161" i="2"/>
  <c r="X160" i="2" s="1"/>
  <c r="X159" i="2"/>
  <c r="X158" i="2" s="1"/>
  <c r="X150" i="2"/>
  <c r="X149" i="2" s="1"/>
  <c r="X148" i="2"/>
  <c r="X147" i="2"/>
  <c r="X128" i="2"/>
  <c r="X127" i="2" s="1"/>
  <c r="X126" i="2"/>
  <c r="X125" i="2" s="1"/>
  <c r="X117" i="2"/>
  <c r="X116" i="2" s="1"/>
  <c r="X115" i="2"/>
  <c r="X114" i="2"/>
  <c r="X104" i="2"/>
  <c r="X102" i="2" s="1"/>
  <c r="X101" i="2"/>
  <c r="X100" i="2"/>
  <c r="X89" i="2"/>
  <c r="X86" i="2"/>
  <c r="X85" i="2"/>
  <c r="X84" i="2"/>
  <c r="X60" i="2"/>
  <c r="X57" i="2"/>
  <c r="X58" i="2"/>
  <c r="X56" i="2"/>
  <c r="V135" i="1"/>
  <c r="V136" i="1"/>
  <c r="V137" i="1"/>
  <c r="V138" i="1"/>
  <c r="V139" i="1"/>
  <c r="V140" i="1"/>
  <c r="V141" i="1"/>
  <c r="V142" i="1"/>
  <c r="V143" i="1"/>
  <c r="V144" i="1"/>
  <c r="V145" i="1"/>
  <c r="V146" i="1"/>
  <c r="X55" i="2" l="1"/>
  <c r="X276" i="2"/>
  <c r="X83" i="2"/>
  <c r="X40" i="8"/>
  <c r="X93" i="8"/>
  <c r="X107" i="8"/>
  <c r="X73" i="6"/>
  <c r="X72" i="6" s="1"/>
  <c r="X18" i="4"/>
  <c r="X12" i="4"/>
  <c r="V147" i="1"/>
  <c r="V163" i="1"/>
  <c r="X41" i="4"/>
  <c r="X40" i="4" s="1"/>
  <c r="X54" i="4"/>
  <c r="X53" i="4" s="1"/>
  <c r="X30" i="13"/>
  <c r="X21" i="13"/>
  <c r="X39" i="13"/>
  <c r="X185" i="8"/>
  <c r="X184" i="8" s="1"/>
  <c r="X36" i="8"/>
  <c r="X35" i="8" s="1"/>
  <c r="X113" i="2"/>
  <c r="X112" i="2" s="1"/>
  <c r="X178" i="2"/>
  <c r="X177" i="2" s="1"/>
  <c r="X224" i="2"/>
  <c r="X239" i="2"/>
  <c r="X248" i="2"/>
  <c r="X335" i="2"/>
  <c r="X345" i="2"/>
  <c r="X386" i="2"/>
  <c r="X421" i="2"/>
  <c r="X390" i="2"/>
  <c r="X31" i="6"/>
  <c r="X106" i="6"/>
  <c r="X105" i="6" s="1"/>
  <c r="X12" i="6" s="1"/>
  <c r="X28" i="6"/>
  <c r="X50" i="6"/>
  <c r="X264" i="6"/>
  <c r="X263" i="6" s="1"/>
  <c r="X94" i="6"/>
  <c r="X475" i="2"/>
  <c r="X474" i="2" s="1"/>
  <c r="X106" i="8"/>
  <c r="X61" i="6"/>
  <c r="X67" i="4"/>
  <c r="X66" i="4" s="1"/>
  <c r="X157" i="2"/>
  <c r="X168" i="2"/>
  <c r="X403" i="2"/>
  <c r="X124" i="2"/>
  <c r="X189" i="2"/>
  <c r="X99" i="2"/>
  <c r="X98" i="2" s="1"/>
  <c r="X264" i="2"/>
  <c r="X198" i="2"/>
  <c r="X54" i="2"/>
  <c r="V151" i="1"/>
  <c r="V164" i="1" s="1"/>
  <c r="P88" i="7"/>
  <c r="O88" i="7"/>
  <c r="P143" i="8"/>
  <c r="P145" i="8"/>
  <c r="P148" i="8"/>
  <c r="P151" i="8"/>
  <c r="X11" i="6" l="1"/>
  <c r="X385" i="2"/>
  <c r="X83" i="9"/>
  <c r="X74" i="9"/>
  <c r="X67" i="9"/>
  <c r="X60" i="9"/>
  <c r="X42" i="9"/>
  <c r="X137" i="9"/>
  <c r="X136" i="9" s="1"/>
  <c r="X135" i="9" s="1"/>
  <c r="X115" i="9"/>
  <c r="X114" i="9" s="1"/>
  <c r="X111" i="9" s="1"/>
  <c r="X99" i="9"/>
  <c r="X98" i="9" s="1"/>
  <c r="X97" i="9"/>
  <c r="X96" i="9" s="1"/>
  <c r="X90" i="9"/>
  <c r="X89" i="9"/>
  <c r="X88" i="9" s="1"/>
  <c r="X82" i="9"/>
  <c r="X73" i="9"/>
  <c r="X72" i="9" s="1"/>
  <c r="X66" i="9"/>
  <c r="X65" i="9" s="1"/>
  <c r="X51" i="9"/>
  <c r="X50" i="9" s="1"/>
  <c r="X49" i="9" s="1"/>
  <c r="X44" i="9"/>
  <c r="X43" i="9"/>
  <c r="X41" i="9"/>
  <c r="X35" i="9"/>
  <c r="X34" i="9" s="1"/>
  <c r="X33" i="9"/>
  <c r="X32" i="9" s="1"/>
  <c r="X26" i="9"/>
  <c r="X25" i="9" s="1"/>
  <c r="X24" i="9"/>
  <c r="X23" i="9" s="1"/>
  <c r="X106" i="5"/>
  <c r="X53" i="5"/>
  <c r="X52" i="5" s="1"/>
  <c r="X51" i="5" s="1"/>
  <c r="X46" i="5"/>
  <c r="X37" i="5"/>
  <c r="X36" i="5" s="1"/>
  <c r="X35" i="5"/>
  <c r="X105" i="5"/>
  <c r="X104" i="5" s="1"/>
  <c r="X95" i="5"/>
  <c r="X94" i="5"/>
  <c r="X92" i="5" s="1"/>
  <c r="X91" i="5" s="1"/>
  <c r="X85" i="5"/>
  <c r="X84" i="5" s="1"/>
  <c r="X83" i="5" s="1"/>
  <c r="X67" i="5"/>
  <c r="X45" i="5"/>
  <c r="X44" i="5" s="1"/>
  <c r="X34" i="5"/>
  <c r="X12" i="5"/>
  <c r="X10" i="6" l="1"/>
  <c r="X95" i="9"/>
  <c r="X22" i="9"/>
  <c r="X31" i="9"/>
  <c r="X40" i="9"/>
  <c r="X125" i="9"/>
  <c r="X33" i="5"/>
  <c r="D88" i="3" l="1"/>
  <c r="X191" i="3"/>
  <c r="X190" i="3" s="1"/>
  <c r="X179" i="3"/>
  <c r="X167" i="3"/>
  <c r="X165" i="3"/>
  <c r="X143" i="3"/>
  <c r="X142" i="3" s="1"/>
  <c r="X140" i="3"/>
  <c r="X119" i="3"/>
  <c r="X116" i="3"/>
  <c r="X95" i="3"/>
  <c r="X92" i="3"/>
  <c r="X83" i="3"/>
  <c r="X81" i="3"/>
  <c r="X80" i="3"/>
  <c r="X71" i="3"/>
  <c r="X69" i="3"/>
  <c r="X68" i="3"/>
  <c r="X35" i="3"/>
  <c r="X33" i="3"/>
  <c r="X25" i="3"/>
  <c r="X202" i="3"/>
  <c r="X201" i="3"/>
  <c r="X189" i="3"/>
  <c r="X188" i="3"/>
  <c r="X178" i="3"/>
  <c r="X177" i="3"/>
  <c r="X166" i="3"/>
  <c r="X141" i="3"/>
  <c r="X131" i="3"/>
  <c r="X130" i="3" s="1"/>
  <c r="X129" i="3"/>
  <c r="X128" i="3"/>
  <c r="X118" i="3"/>
  <c r="X117" i="3"/>
  <c r="X115" i="3" s="1"/>
  <c r="X107" i="3"/>
  <c r="X106" i="3" s="1"/>
  <c r="X105" i="3"/>
  <c r="X103" i="3" s="1"/>
  <c r="X94" i="3"/>
  <c r="X93" i="3"/>
  <c r="X82" i="3"/>
  <c r="X79" i="3"/>
  <c r="X70" i="3"/>
  <c r="X67" i="3"/>
  <c r="X34" i="3"/>
  <c r="X31" i="3"/>
  <c r="X24" i="3"/>
  <c r="X23" i="3" s="1"/>
  <c r="X139" i="3" l="1"/>
  <c r="X138" i="3" s="1"/>
  <c r="X127" i="3"/>
  <c r="X187" i="3"/>
  <c r="X66" i="3"/>
  <c r="X102" i="3"/>
  <c r="X91" i="3"/>
  <c r="X199" i="3"/>
  <c r="X198" i="3" s="1"/>
  <c r="X126" i="3"/>
  <c r="X186" i="3"/>
  <c r="X114" i="3"/>
  <c r="X90" i="3"/>
  <c r="X78" i="3"/>
  <c r="X30" i="3"/>
  <c r="O484" i="2"/>
  <c r="P18" i="4"/>
  <c r="M69" i="1" s="1"/>
  <c r="Q18" i="4"/>
  <c r="N69" i="1" s="1"/>
  <c r="P24" i="4"/>
  <c r="O105" i="4"/>
  <c r="O104" i="4" s="1"/>
  <c r="O111" i="4"/>
  <c r="D111" i="4"/>
  <c r="O456" i="2" l="1"/>
  <c r="D537" i="2"/>
  <c r="O179" i="2" l="1"/>
  <c r="M191" i="2"/>
  <c r="D191" i="2" s="1"/>
  <c r="M193" i="2"/>
  <c r="D193" i="2" s="1"/>
  <c r="O170" i="2"/>
  <c r="O166" i="2"/>
  <c r="N159" i="2"/>
  <c r="N161" i="2"/>
  <c r="P133" i="9" l="1"/>
  <c r="X133" i="9" s="1"/>
  <c r="X126" i="9" l="1"/>
  <c r="X124" i="9" s="1"/>
  <c r="X123" i="9" s="1"/>
  <c r="X132" i="9"/>
  <c r="X131" i="9" s="1"/>
  <c r="D508" i="2"/>
  <c r="P25" i="7" l="1"/>
  <c r="X25" i="7" s="1"/>
  <c r="O25" i="7"/>
  <c r="X24" i="7" l="1"/>
  <c r="X23" i="7" s="1"/>
  <c r="X10" i="7"/>
  <c r="X8" i="7" s="1"/>
  <c r="N226" i="2"/>
  <c r="N241" i="2"/>
  <c r="L226" i="2"/>
  <c r="M226" i="2" s="1"/>
  <c r="D226" i="2" s="1"/>
  <c r="L241" i="2"/>
  <c r="L111" i="8" l="1"/>
  <c r="L108" i="8"/>
  <c r="O165" i="8"/>
  <c r="O162" i="8"/>
  <c r="O159" i="8"/>
  <c r="O157" i="8"/>
  <c r="Q86" i="8" l="1"/>
  <c r="X86" i="8"/>
  <c r="X85" i="8" s="1"/>
  <c r="R90" i="8"/>
  <c r="P91" i="8"/>
  <c r="O91" i="8"/>
  <c r="R88" i="8"/>
  <c r="R87" i="8" s="1"/>
  <c r="P18" i="10" s="1"/>
  <c r="Q89" i="8"/>
  <c r="X84" i="8" l="1"/>
  <c r="X83" i="8" s="1"/>
  <c r="X82" i="8" s="1"/>
  <c r="O542" i="2"/>
  <c r="O84" i="4" l="1"/>
  <c r="P16" i="4" l="1"/>
  <c r="Q16" i="4"/>
  <c r="R16" i="4"/>
  <c r="S16" i="4"/>
  <c r="T16" i="4"/>
  <c r="T119" i="4" l="1"/>
  <c r="S119" i="4"/>
  <c r="R119" i="4"/>
  <c r="Q119" i="4"/>
  <c r="P119" i="4"/>
  <c r="R138" i="4" l="1"/>
  <c r="R15" i="4"/>
  <c r="R11" i="4"/>
  <c r="Q138" i="4"/>
  <c r="Q11" i="4"/>
  <c r="Q15" i="4"/>
  <c r="S138" i="4"/>
  <c r="S11" i="4"/>
  <c r="S15" i="4"/>
  <c r="P138" i="4"/>
  <c r="P15" i="4"/>
  <c r="P11" i="4"/>
  <c r="X119" i="4"/>
  <c r="T138" i="4"/>
  <c r="T15" i="4"/>
  <c r="T11" i="4"/>
  <c r="X117" i="4"/>
  <c r="D119" i="4"/>
  <c r="L392" i="2"/>
  <c r="M392" i="2" s="1"/>
  <c r="D392" i="2" s="1"/>
  <c r="D376" i="2" s="1"/>
  <c r="L401" i="2"/>
  <c r="D15" i="4" l="1"/>
  <c r="D11" i="4"/>
  <c r="AD139" i="4"/>
  <c r="AD140" i="4" s="1"/>
  <c r="X11" i="4"/>
  <c r="X15" i="4"/>
  <c r="X116" i="4"/>
  <c r="X10" i="4"/>
  <c r="X14" i="4"/>
  <c r="X13" i="4" s="1"/>
  <c r="L63" i="9" l="1"/>
  <c r="M96" i="9" l="1"/>
  <c r="N96" i="9"/>
  <c r="O96" i="9"/>
  <c r="D96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H117" i="9"/>
  <c r="G117" i="9"/>
  <c r="F117" i="9"/>
  <c r="E117" i="9"/>
  <c r="T116" i="9"/>
  <c r="S116" i="9"/>
  <c r="R116" i="9"/>
  <c r="Q116" i="9"/>
  <c r="P116" i="9"/>
  <c r="O116" i="9"/>
  <c r="N116" i="9"/>
  <c r="M116" i="9"/>
  <c r="L116" i="9"/>
  <c r="K116" i="9"/>
  <c r="J116" i="9"/>
  <c r="I116" i="9"/>
  <c r="D116" i="9" s="1"/>
  <c r="H116" i="9"/>
  <c r="G116" i="9"/>
  <c r="F116" i="9"/>
  <c r="E116" i="9"/>
  <c r="O114" i="9"/>
  <c r="O111" i="9" s="1"/>
  <c r="N114" i="9"/>
  <c r="N111" i="9" s="1"/>
  <c r="M114" i="9"/>
  <c r="M111" i="9" s="1"/>
  <c r="L114" i="9"/>
  <c r="K114" i="9"/>
  <c r="J114" i="9"/>
  <c r="I114" i="9"/>
  <c r="H114" i="9"/>
  <c r="G114" i="9"/>
  <c r="F114" i="9"/>
  <c r="F111" i="9" s="1"/>
  <c r="E114" i="9"/>
  <c r="E111" i="9" s="1"/>
  <c r="D114" i="9"/>
  <c r="D111" i="9" s="1"/>
  <c r="T111" i="9"/>
  <c r="S111" i="9"/>
  <c r="R111" i="9"/>
  <c r="Q111" i="9"/>
  <c r="P111" i="9"/>
  <c r="L111" i="9"/>
  <c r="K111" i="9"/>
  <c r="J111" i="9"/>
  <c r="I111" i="9"/>
  <c r="H111" i="9"/>
  <c r="G111" i="9"/>
  <c r="D117" i="9" l="1"/>
  <c r="D89" i="9"/>
  <c r="D88" i="9" s="1"/>
  <c r="O89" i="9"/>
  <c r="T92" i="9"/>
  <c r="S92" i="9"/>
  <c r="R92" i="9"/>
  <c r="Q92" i="9"/>
  <c r="P92" i="9"/>
  <c r="O92" i="9"/>
  <c r="N92" i="9"/>
  <c r="M92" i="9"/>
  <c r="L92" i="9"/>
  <c r="K92" i="9"/>
  <c r="J92" i="9"/>
  <c r="I92" i="9"/>
  <c r="H92" i="9"/>
  <c r="G92" i="9"/>
  <c r="F92" i="9"/>
  <c r="E92" i="9"/>
  <c r="T91" i="9"/>
  <c r="S91" i="9"/>
  <c r="R91" i="9"/>
  <c r="Q91" i="9"/>
  <c r="P91" i="9"/>
  <c r="O91" i="9"/>
  <c r="N91" i="9"/>
  <c r="M91" i="9"/>
  <c r="L91" i="9"/>
  <c r="K91" i="9"/>
  <c r="J91" i="9"/>
  <c r="I91" i="9"/>
  <c r="H91" i="9"/>
  <c r="G91" i="9"/>
  <c r="F91" i="9"/>
  <c r="E91" i="9"/>
  <c r="N89" i="9"/>
  <c r="M89" i="9"/>
  <c r="L89" i="9"/>
  <c r="K89" i="9"/>
  <c r="J89" i="9"/>
  <c r="I89" i="9"/>
  <c r="H89" i="9"/>
  <c r="G89" i="9"/>
  <c r="F89" i="9"/>
  <c r="E89" i="9"/>
  <c r="T88" i="9"/>
  <c r="S88" i="9"/>
  <c r="R88" i="9"/>
  <c r="Q88" i="9"/>
  <c r="P88" i="9"/>
  <c r="O88" i="9"/>
  <c r="N88" i="9"/>
  <c r="M88" i="9"/>
  <c r="L88" i="9"/>
  <c r="K88" i="9"/>
  <c r="J88" i="9"/>
  <c r="I88" i="9"/>
  <c r="H88" i="9"/>
  <c r="G88" i="9"/>
  <c r="F88" i="9"/>
  <c r="E88" i="9"/>
  <c r="O82" i="9"/>
  <c r="O79" i="9" s="1"/>
  <c r="D91" i="9" l="1"/>
  <c r="D92" i="9"/>
  <c r="L82" i="6"/>
  <c r="E516" i="2" l="1"/>
  <c r="F516" i="2"/>
  <c r="G516" i="2"/>
  <c r="H516" i="2"/>
  <c r="I516" i="2"/>
  <c r="E524" i="2"/>
  <c r="F524" i="2"/>
  <c r="G524" i="2"/>
  <c r="H524" i="2"/>
  <c r="I524" i="2"/>
  <c r="J524" i="2"/>
  <c r="P448" i="2" l="1"/>
  <c r="X504" i="2"/>
  <c r="X503" i="2" s="1"/>
  <c r="X502" i="2" s="1"/>
  <c r="T31" i="8" l="1"/>
  <c r="S31" i="8"/>
  <c r="T25" i="8"/>
  <c r="S25" i="8"/>
  <c r="N25" i="8"/>
  <c r="T22" i="8"/>
  <c r="T20" i="8"/>
  <c r="S20" i="8"/>
  <c r="T15" i="8"/>
  <c r="S15" i="8"/>
  <c r="N15" i="8"/>
  <c r="F333" i="2" l="1"/>
  <c r="G333" i="2"/>
  <c r="H333" i="2"/>
  <c r="I333" i="2"/>
  <c r="J333" i="2"/>
  <c r="K333" i="2"/>
  <c r="N333" i="2"/>
  <c r="O333" i="2"/>
  <c r="F330" i="2"/>
  <c r="G330" i="2"/>
  <c r="H330" i="2"/>
  <c r="K330" i="2"/>
  <c r="L330" i="2"/>
  <c r="N330" i="2"/>
  <c r="O330" i="2"/>
  <c r="T330" i="2"/>
  <c r="F328" i="2"/>
  <c r="G328" i="2"/>
  <c r="H328" i="2"/>
  <c r="R448" i="2"/>
  <c r="Q448" i="2"/>
  <c r="O387" i="2"/>
  <c r="N387" i="2"/>
  <c r="M387" i="2" s="1"/>
  <c r="P398" i="2"/>
  <c r="J397" i="2"/>
  <c r="I397" i="2"/>
  <c r="O398" i="2"/>
  <c r="O391" i="2"/>
  <c r="N391" i="2"/>
  <c r="L391" i="2"/>
  <c r="O389" i="2"/>
  <c r="N389" i="2"/>
  <c r="L389" i="2"/>
  <c r="O503" i="2"/>
  <c r="O502" i="2" s="1"/>
  <c r="O117" i="2"/>
  <c r="O115" i="2"/>
  <c r="O175" i="2"/>
  <c r="L172" i="2"/>
  <c r="N187" i="2"/>
  <c r="N182" i="2"/>
  <c r="N179" i="2"/>
  <c r="O200" i="2"/>
  <c r="O147" i="2"/>
  <c r="Q351" i="2"/>
  <c r="Q350" i="2" s="1"/>
  <c r="M389" i="2" l="1"/>
  <c r="D389" i="2" s="1"/>
  <c r="D373" i="2" s="1"/>
  <c r="D448" i="2"/>
  <c r="D387" i="2"/>
  <c r="M391" i="2"/>
  <c r="D391" i="2" s="1"/>
  <c r="X448" i="2"/>
  <c r="X447" i="2" s="1"/>
  <c r="X446" i="2" s="1"/>
  <c r="X328" i="2"/>
  <c r="X327" i="2" s="1"/>
  <c r="X330" i="2"/>
  <c r="X329" i="2" s="1"/>
  <c r="E352" i="2"/>
  <c r="P351" i="2"/>
  <c r="O351" i="2"/>
  <c r="O350" i="2" s="1"/>
  <c r="N351" i="2"/>
  <c r="N350" i="2" s="1"/>
  <c r="L351" i="2"/>
  <c r="L350" i="2" s="1"/>
  <c r="K351" i="2"/>
  <c r="K350" i="2" s="1"/>
  <c r="J351" i="2"/>
  <c r="J350" i="2" s="1"/>
  <c r="I351" i="2"/>
  <c r="I350" i="2" s="1"/>
  <c r="H351" i="2"/>
  <c r="H350" i="2" s="1"/>
  <c r="G351" i="2"/>
  <c r="G350" i="2" s="1"/>
  <c r="F351" i="2"/>
  <c r="F350" i="2" s="1"/>
  <c r="P350" i="2"/>
  <c r="E349" i="2"/>
  <c r="M349" i="2" s="1"/>
  <c r="D349" i="2" s="1"/>
  <c r="P348" i="2"/>
  <c r="O348" i="2"/>
  <c r="N348" i="2"/>
  <c r="L348" i="2"/>
  <c r="K348" i="2"/>
  <c r="J348" i="2"/>
  <c r="I348" i="2"/>
  <c r="H348" i="2"/>
  <c r="G348" i="2"/>
  <c r="F348" i="2"/>
  <c r="N347" i="2"/>
  <c r="N346" i="2" s="1"/>
  <c r="N345" i="2" s="1"/>
  <c r="L347" i="2"/>
  <c r="L346" i="2" s="1"/>
  <c r="L345" i="2" s="1"/>
  <c r="E347" i="2"/>
  <c r="E346" i="2" s="1"/>
  <c r="P346" i="2"/>
  <c r="O346" i="2"/>
  <c r="K346" i="2"/>
  <c r="J346" i="2"/>
  <c r="I346" i="2"/>
  <c r="H346" i="2"/>
  <c r="G346" i="2"/>
  <c r="F346" i="2"/>
  <c r="H345" i="2" l="1"/>
  <c r="X326" i="2"/>
  <c r="G345" i="2"/>
  <c r="I345" i="2"/>
  <c r="K345" i="2"/>
  <c r="F345" i="2"/>
  <c r="P345" i="2"/>
  <c r="M347" i="2"/>
  <c r="D347" i="2" s="1"/>
  <c r="D346" i="2" s="1"/>
  <c r="E351" i="2"/>
  <c r="E350" i="2" s="1"/>
  <c r="D352" i="2"/>
  <c r="E348" i="2"/>
  <c r="E345" i="2" s="1"/>
  <c r="O345" i="2"/>
  <c r="J345" i="2"/>
  <c r="M348" i="2"/>
  <c r="D348" i="2"/>
  <c r="T16" i="8"/>
  <c r="Q20" i="1" s="1"/>
  <c r="T26" i="8"/>
  <c r="Q35" i="1" s="1"/>
  <c r="T32" i="8"/>
  <c r="Q43" i="1" s="1"/>
  <c r="Q141" i="1" s="1"/>
  <c r="Q203" i="1" s="1"/>
  <c r="S32" i="8"/>
  <c r="P43" i="1" s="1"/>
  <c r="P141" i="1" s="1"/>
  <c r="P203" i="1" s="1"/>
  <c r="R32" i="8"/>
  <c r="O43" i="1" s="1"/>
  <c r="O141" i="1" s="1"/>
  <c r="O203" i="1" s="1"/>
  <c r="Q32" i="8"/>
  <c r="N43" i="1" s="1"/>
  <c r="N141" i="1" s="1"/>
  <c r="N203" i="1" s="1"/>
  <c r="P32" i="8"/>
  <c r="M43" i="1" s="1"/>
  <c r="M141" i="1" s="1"/>
  <c r="M203" i="1" s="1"/>
  <c r="O32" i="8"/>
  <c r="L43" i="1" s="1"/>
  <c r="L141" i="1" s="1"/>
  <c r="L203" i="1" s="1"/>
  <c r="S26" i="8"/>
  <c r="P35" i="1" s="1"/>
  <c r="R26" i="8"/>
  <c r="O35" i="1" s="1"/>
  <c r="O140" i="1" s="1"/>
  <c r="O202" i="1" s="1"/>
  <c r="Q26" i="8"/>
  <c r="N35" i="1" s="1"/>
  <c r="N140" i="1" s="1"/>
  <c r="N202" i="1" s="1"/>
  <c r="P26" i="8"/>
  <c r="M35" i="1" s="1"/>
  <c r="M140" i="1" s="1"/>
  <c r="M202" i="1" s="1"/>
  <c r="T21" i="8"/>
  <c r="Q29" i="1" s="1"/>
  <c r="S21" i="8"/>
  <c r="P29" i="1" s="1"/>
  <c r="P129" i="1" s="1"/>
  <c r="P191" i="1" s="1"/>
  <c r="R21" i="8"/>
  <c r="O29" i="1" s="1"/>
  <c r="O129" i="1" s="1"/>
  <c r="O191" i="1" s="1"/>
  <c r="Q21" i="8"/>
  <c r="N29" i="1" s="1"/>
  <c r="N129" i="1" s="1"/>
  <c r="N191" i="1" s="1"/>
  <c r="P21" i="8"/>
  <c r="M29" i="1" s="1"/>
  <c r="M129" i="1" s="1"/>
  <c r="M191" i="1" s="1"/>
  <c r="O21" i="8"/>
  <c r="L29" i="1" s="1"/>
  <c r="S16" i="8"/>
  <c r="P20" i="1" s="1"/>
  <c r="R16" i="8"/>
  <c r="O20" i="1" s="1"/>
  <c r="Q16" i="8"/>
  <c r="N20" i="1" s="1"/>
  <c r="P16" i="8"/>
  <c r="M20" i="1" s="1"/>
  <c r="Q129" i="1" l="1"/>
  <c r="Q191" i="1" s="1"/>
  <c r="D351" i="2"/>
  <c r="D350" i="2" s="1"/>
  <c r="M346" i="2"/>
  <c r="M345" i="2" s="1"/>
  <c r="M351" i="2"/>
  <c r="M350" i="2" s="1"/>
  <c r="L129" i="1"/>
  <c r="L191" i="1" s="1"/>
  <c r="Q140" i="1"/>
  <c r="Q202" i="1" s="1"/>
  <c r="P140" i="1"/>
  <c r="P202" i="1" s="1"/>
  <c r="D345" i="2"/>
  <c r="P442" i="2"/>
  <c r="M76" i="1" s="1"/>
  <c r="Q442" i="2"/>
  <c r="R442" i="2"/>
  <c r="S442" i="2"/>
  <c r="T442" i="2"/>
  <c r="O442" i="2"/>
  <c r="D528" i="2"/>
  <c r="D527" i="2" s="1"/>
  <c r="O528" i="2"/>
  <c r="O527" i="2" s="1"/>
  <c r="D520" i="2"/>
  <c r="D519" i="2" s="1"/>
  <c r="O520" i="2"/>
  <c r="O519" i="2" s="1"/>
  <c r="O436" i="2"/>
  <c r="O524" i="2" l="1"/>
  <c r="D436" i="2"/>
  <c r="D442" i="2"/>
  <c r="Z442" i="2" s="1"/>
  <c r="O517" i="2"/>
  <c r="O516" i="2" l="1"/>
  <c r="O328" i="2"/>
  <c r="O138" i="4" l="1"/>
  <c r="N468" i="2" l="1"/>
  <c r="N60" i="9" l="1"/>
  <c r="D58" i="9"/>
  <c r="D57" i="9" s="1"/>
  <c r="M57" i="9"/>
  <c r="N57" i="9"/>
  <c r="O57" i="9"/>
  <c r="O63" i="9"/>
  <c r="O60" i="9"/>
  <c r="N82" i="6" l="1"/>
  <c r="N77" i="6"/>
  <c r="M77" i="6" s="1"/>
  <c r="N78" i="6"/>
  <c r="N92" i="6" l="1"/>
  <c r="L92" i="6"/>
  <c r="N89" i="6"/>
  <c r="N88" i="6"/>
  <c r="N74" i="9" l="1"/>
  <c r="Q280" i="2" l="1"/>
  <c r="M283" i="2"/>
  <c r="Q285" i="2"/>
  <c r="Q277" i="2"/>
  <c r="O221" i="2"/>
  <c r="O218" i="2"/>
  <c r="P216" i="2"/>
  <c r="N278" i="2"/>
  <c r="M278" i="2" s="1"/>
  <c r="D278" i="2" s="1"/>
  <c r="M277" i="2" l="1"/>
  <c r="X216" i="2"/>
  <c r="X215" i="2" s="1"/>
  <c r="X214" i="2" s="1"/>
  <c r="Q282" i="2"/>
  <c r="Q276" i="2"/>
  <c r="P165" i="8"/>
  <c r="P31" i="8" s="1"/>
  <c r="P162" i="8"/>
  <c r="P25" i="8" s="1"/>
  <c r="P159" i="8"/>
  <c r="P157" i="8"/>
  <c r="P156" i="8"/>
  <c r="X156" i="8" s="1"/>
  <c r="O156" i="8"/>
  <c r="S141" i="8"/>
  <c r="S140" i="8" s="1"/>
  <c r="Q13" i="10" s="1"/>
  <c r="S144" i="8"/>
  <c r="S147" i="8"/>
  <c r="S146" i="8" s="1"/>
  <c r="Q14" i="10" s="1"/>
  <c r="S150" i="8"/>
  <c r="R151" i="8"/>
  <c r="R31" i="8" s="1"/>
  <c r="R148" i="8"/>
  <c r="R25" i="8" s="1"/>
  <c r="R145" i="8"/>
  <c r="R20" i="8" s="1"/>
  <c r="R143" i="8"/>
  <c r="R15" i="8" s="1"/>
  <c r="O142" i="8"/>
  <c r="R142" i="8"/>
  <c r="Q142" i="8"/>
  <c r="P142" i="8"/>
  <c r="X159" i="8" l="1"/>
  <c r="X158" i="8" s="1"/>
  <c r="P20" i="8"/>
  <c r="D142" i="8"/>
  <c r="X142" i="8"/>
  <c r="D143" i="8"/>
  <c r="Q15" i="8"/>
  <c r="X145" i="8"/>
  <c r="X144" i="8" s="1"/>
  <c r="D145" i="8"/>
  <c r="Q20" i="8"/>
  <c r="D148" i="8"/>
  <c r="Q25" i="8"/>
  <c r="D151" i="8"/>
  <c r="Q31" i="8"/>
  <c r="X157" i="8"/>
  <c r="X155" i="8" s="1"/>
  <c r="X154" i="8" s="1"/>
  <c r="P15" i="8"/>
  <c r="N114" i="2"/>
  <c r="L114" i="2"/>
  <c r="Q273" i="2"/>
  <c r="Q268" i="2"/>
  <c r="M271" i="2"/>
  <c r="M268" i="2"/>
  <c r="M265" i="2"/>
  <c r="Q265" i="2"/>
  <c r="D272" i="2"/>
  <c r="D267" i="2"/>
  <c r="Q253" i="2"/>
  <c r="M256" i="2"/>
  <c r="Q257" i="2"/>
  <c r="Q260" i="2"/>
  <c r="D261" i="2"/>
  <c r="D258" i="2"/>
  <c r="D252" i="2"/>
  <c r="F249" i="2"/>
  <c r="G249" i="2"/>
  <c r="J249" i="2"/>
  <c r="K249" i="2"/>
  <c r="L249" i="2"/>
  <c r="M249" i="2"/>
  <c r="N249" i="2"/>
  <c r="O249" i="2"/>
  <c r="P249" i="2"/>
  <c r="Q249" i="2"/>
  <c r="Q245" i="2"/>
  <c r="Q244" i="2" s="1"/>
  <c r="X141" i="8" l="1"/>
  <c r="X140" i="8" s="1"/>
  <c r="X14" i="8"/>
  <c r="Q270" i="2"/>
  <c r="Q248" i="2"/>
  <c r="Q256" i="2"/>
  <c r="Q264" i="2"/>
  <c r="M264" i="2"/>
  <c r="F37" i="12"/>
  <c r="D37" i="12"/>
  <c r="L29" i="12" l="1"/>
  <c r="M29" i="12"/>
  <c r="N29" i="12"/>
  <c r="L28" i="12"/>
  <c r="M28" i="12"/>
  <c r="N28" i="12"/>
  <c r="M27" i="12"/>
  <c r="N27" i="12"/>
  <c r="K25" i="12"/>
  <c r="L25" i="12"/>
  <c r="M25" i="12"/>
  <c r="N25" i="12"/>
  <c r="K24" i="12"/>
  <c r="L24" i="12"/>
  <c r="M24" i="12"/>
  <c r="N24" i="12"/>
  <c r="M23" i="12"/>
  <c r="N23" i="12"/>
  <c r="K21" i="12"/>
  <c r="L21" i="12"/>
  <c r="M21" i="12"/>
  <c r="N21" i="12"/>
  <c r="L20" i="12"/>
  <c r="M20" i="12"/>
  <c r="N20" i="12"/>
  <c r="M19" i="12"/>
  <c r="N19" i="12"/>
  <c r="K17" i="12"/>
  <c r="L17" i="12"/>
  <c r="M17" i="12"/>
  <c r="N17" i="12"/>
  <c r="K16" i="12"/>
  <c r="L16" i="12"/>
  <c r="M16" i="12"/>
  <c r="N16" i="12"/>
  <c r="M15" i="12"/>
  <c r="N15" i="12"/>
  <c r="M11" i="12"/>
  <c r="N11" i="12"/>
  <c r="L12" i="12"/>
  <c r="M12" i="12"/>
  <c r="N12" i="12"/>
  <c r="L13" i="12"/>
  <c r="M13" i="12"/>
  <c r="N13" i="12"/>
  <c r="K13" i="12"/>
  <c r="K12" i="12"/>
  <c r="N9" i="12" l="1"/>
  <c r="L9" i="12"/>
  <c r="M9" i="12"/>
  <c r="N41" i="4"/>
  <c r="R17" i="8" l="1"/>
  <c r="S17" i="8"/>
  <c r="T17" i="8"/>
  <c r="S14" i="8"/>
  <c r="T14" i="8"/>
  <c r="O135" i="8" l="1"/>
  <c r="D117" i="4" l="1"/>
  <c r="P117" i="4" l="1"/>
  <c r="P116" i="4" s="1"/>
  <c r="Q117" i="4"/>
  <c r="R117" i="4"/>
  <c r="R116" i="4" s="1"/>
  <c r="S117" i="4"/>
  <c r="T117" i="4"/>
  <c r="T116" i="4" s="1"/>
  <c r="O117" i="4"/>
  <c r="O116" i="4" s="1"/>
  <c r="O136" i="4"/>
  <c r="T122" i="4"/>
  <c r="S122" i="4"/>
  <c r="R122" i="4"/>
  <c r="Q122" i="4"/>
  <c r="P122" i="4"/>
  <c r="O122" i="4"/>
  <c r="O121" i="4" s="1"/>
  <c r="N122" i="4"/>
  <c r="N121" i="4" s="1"/>
  <c r="M122" i="4"/>
  <c r="L122" i="4"/>
  <c r="K122" i="4"/>
  <c r="J122" i="4"/>
  <c r="I122" i="4"/>
  <c r="H122" i="4"/>
  <c r="G122" i="4"/>
  <c r="F122" i="4"/>
  <c r="E122" i="4"/>
  <c r="T121" i="4"/>
  <c r="S121" i="4"/>
  <c r="R121" i="4"/>
  <c r="Q121" i="4"/>
  <c r="P121" i="4"/>
  <c r="M121" i="4"/>
  <c r="L121" i="4"/>
  <c r="K121" i="4"/>
  <c r="J121" i="4"/>
  <c r="I121" i="4"/>
  <c r="H121" i="4"/>
  <c r="G121" i="4"/>
  <c r="F121" i="4"/>
  <c r="E121" i="4"/>
  <c r="S116" i="4"/>
  <c r="N117" i="4"/>
  <c r="N116" i="4" s="1"/>
  <c r="M117" i="4"/>
  <c r="M116" i="4" s="1"/>
  <c r="L117" i="4"/>
  <c r="K117" i="4"/>
  <c r="J117" i="4"/>
  <c r="I117" i="4"/>
  <c r="H117" i="4"/>
  <c r="G117" i="4"/>
  <c r="F117" i="4"/>
  <c r="E117" i="4"/>
  <c r="D116" i="4"/>
  <c r="Q116" i="4"/>
  <c r="L116" i="4"/>
  <c r="K116" i="4"/>
  <c r="J116" i="4"/>
  <c r="I116" i="4"/>
  <c r="H116" i="4"/>
  <c r="G116" i="4"/>
  <c r="F116" i="4"/>
  <c r="E116" i="4"/>
  <c r="D122" i="4" l="1"/>
  <c r="D121" i="4" s="1"/>
  <c r="N99" i="9" l="1"/>
  <c r="M99" i="9" s="1"/>
  <c r="D99" i="9" s="1"/>
  <c r="F435" i="2" l="1"/>
  <c r="G435" i="2"/>
  <c r="H435" i="2"/>
  <c r="S435" i="2"/>
  <c r="T435" i="2"/>
  <c r="P495" i="2"/>
  <c r="P494" i="2" s="1"/>
  <c r="O495" i="2"/>
  <c r="O494" i="2" s="1"/>
  <c r="N495" i="2"/>
  <c r="N494" i="2" s="1"/>
  <c r="L495" i="2"/>
  <c r="L494" i="2" s="1"/>
  <c r="K495" i="2"/>
  <c r="K494" i="2" s="1"/>
  <c r="J495" i="2"/>
  <c r="J494" i="2" s="1"/>
  <c r="N533" i="2"/>
  <c r="N525" i="2"/>
  <c r="N524" i="2" s="1"/>
  <c r="Q517" i="2"/>
  <c r="Q516" i="2" s="1"/>
  <c r="P517" i="2"/>
  <c r="N517" i="2"/>
  <c r="N516" i="2" s="1"/>
  <c r="N488" i="2"/>
  <c r="N484" i="2"/>
  <c r="N464" i="2"/>
  <c r="M464" i="2" s="1"/>
  <c r="P516" i="2" l="1"/>
  <c r="M495" i="2"/>
  <c r="M494" i="2" s="1"/>
  <c r="N105" i="4"/>
  <c r="M105" i="4" s="1"/>
  <c r="D105" i="4" s="1"/>
  <c r="N109" i="4"/>
  <c r="N114" i="4"/>
  <c r="M114" i="4" s="1"/>
  <c r="D114" i="4" s="1"/>
  <c r="O95" i="4"/>
  <c r="O16" i="4" s="1"/>
  <c r="O98" i="4"/>
  <c r="O101" i="4"/>
  <c r="N95" i="4"/>
  <c r="N98" i="4"/>
  <c r="N101" i="4"/>
  <c r="M101" i="4" s="1"/>
  <c r="D101" i="4" s="1"/>
  <c r="N16" i="4" l="1"/>
  <c r="M95" i="4"/>
  <c r="D495" i="2"/>
  <c r="D494" i="2" s="1"/>
  <c r="Q232" i="2"/>
  <c r="Q235" i="2"/>
  <c r="D95" i="4" l="1"/>
  <c r="M16" i="4"/>
  <c r="Q231" i="2"/>
  <c r="O89" i="6"/>
  <c r="S20" i="5" l="1"/>
  <c r="T20" i="5"/>
  <c r="R17" i="5"/>
  <c r="S17" i="5"/>
  <c r="T17" i="5"/>
  <c r="X17" i="5" l="1"/>
  <c r="X16" i="5" s="1"/>
  <c r="F235" i="2"/>
  <c r="G235" i="2"/>
  <c r="H235" i="2"/>
  <c r="I235" i="2"/>
  <c r="J235" i="2"/>
  <c r="K235" i="2"/>
  <c r="L235" i="2"/>
  <c r="F229" i="2"/>
  <c r="G229" i="2"/>
  <c r="H229" i="2"/>
  <c r="I229" i="2"/>
  <c r="J229" i="2"/>
  <c r="K229" i="2"/>
  <c r="L229" i="2"/>
  <c r="N229" i="2"/>
  <c r="O229" i="2"/>
  <c r="P229" i="2"/>
  <c r="M225" i="2"/>
  <c r="D228" i="2"/>
  <c r="D227" i="2"/>
  <c r="L234" i="2" l="1"/>
  <c r="M232" i="2"/>
  <c r="L233" i="2"/>
  <c r="E56" i="5"/>
  <c r="D55" i="5"/>
  <c r="D54" i="5" s="1"/>
  <c r="T55" i="5"/>
  <c r="T54" i="5" s="1"/>
  <c r="S55" i="5"/>
  <c r="S54" i="5" s="1"/>
  <c r="R55" i="5"/>
  <c r="R54" i="5" s="1"/>
  <c r="Q55" i="5"/>
  <c r="Q54" i="5" s="1"/>
  <c r="P55" i="5"/>
  <c r="P54" i="5" s="1"/>
  <c r="O55" i="5"/>
  <c r="O54" i="5" s="1"/>
  <c r="N55" i="5"/>
  <c r="N54" i="5" s="1"/>
  <c r="M55" i="5"/>
  <c r="M54" i="5" s="1"/>
  <c r="L55" i="5"/>
  <c r="L54" i="5" s="1"/>
  <c r="K55" i="5"/>
  <c r="K54" i="5" s="1"/>
  <c r="J55" i="5"/>
  <c r="J54" i="5" s="1"/>
  <c r="I55" i="5"/>
  <c r="I54" i="5" s="1"/>
  <c r="H55" i="5"/>
  <c r="H54" i="5" s="1"/>
  <c r="G55" i="5"/>
  <c r="G54" i="5" s="1"/>
  <c r="F55" i="5"/>
  <c r="F54" i="5" s="1"/>
  <c r="E55" i="5"/>
  <c r="E54" i="5" s="1"/>
  <c r="D52" i="5"/>
  <c r="D51" i="5" s="1"/>
  <c r="E53" i="5"/>
  <c r="T52" i="5"/>
  <c r="S52" i="5"/>
  <c r="R52" i="5"/>
  <c r="Q52" i="5"/>
  <c r="Q51" i="5" s="1"/>
  <c r="P52" i="5"/>
  <c r="O52" i="5"/>
  <c r="N52" i="5"/>
  <c r="M52" i="5"/>
  <c r="L52" i="5"/>
  <c r="K52" i="5"/>
  <c r="J52" i="5"/>
  <c r="I52" i="5"/>
  <c r="H52" i="5"/>
  <c r="G52" i="5"/>
  <c r="F52" i="5"/>
  <c r="P51" i="5"/>
  <c r="O51" i="5"/>
  <c r="N51" i="5"/>
  <c r="M51" i="5"/>
  <c r="L51" i="5"/>
  <c r="K51" i="5"/>
  <c r="J51" i="5"/>
  <c r="I51" i="5"/>
  <c r="H51" i="5"/>
  <c r="G51" i="5"/>
  <c r="F51" i="5"/>
  <c r="I234" i="2" l="1"/>
  <c r="H234" i="2" s="1"/>
  <c r="G234" i="2" s="1"/>
  <c r="K234" i="2"/>
  <c r="E52" i="5"/>
  <c r="E51" i="5" s="1"/>
  <c r="L232" i="2"/>
  <c r="L231" i="2" s="1"/>
  <c r="F234" i="2" l="1"/>
  <c r="E234" i="2" s="1"/>
  <c r="K232" i="2"/>
  <c r="K231" i="2" s="1"/>
  <c r="O125" i="9"/>
  <c r="M125" i="9"/>
  <c r="P125" i="9"/>
  <c r="M65" i="1" s="1"/>
  <c r="Q125" i="9"/>
  <c r="N65" i="1" s="1"/>
  <c r="R125" i="9"/>
  <c r="O65" i="1" s="1"/>
  <c r="S125" i="9"/>
  <c r="P65" i="1" s="1"/>
  <c r="T125" i="9"/>
  <c r="Q65" i="1" s="1"/>
  <c r="N125" i="9"/>
  <c r="P129" i="9"/>
  <c r="M78" i="1" s="1"/>
  <c r="O129" i="9"/>
  <c r="Q131" i="9"/>
  <c r="R131" i="9"/>
  <c r="S131" i="9"/>
  <c r="T131" i="9"/>
  <c r="E132" i="9"/>
  <c r="E131" i="9" s="1"/>
  <c r="F132" i="9"/>
  <c r="F131" i="9" s="1"/>
  <c r="G132" i="9"/>
  <c r="G131" i="9" s="1"/>
  <c r="H132" i="9"/>
  <c r="H131" i="9" s="1"/>
  <c r="I132" i="9"/>
  <c r="I131" i="9" s="1"/>
  <c r="J132" i="9"/>
  <c r="J131" i="9" s="1"/>
  <c r="K132" i="9"/>
  <c r="K131" i="9" s="1"/>
  <c r="L132" i="9"/>
  <c r="L131" i="9" s="1"/>
  <c r="P132" i="9"/>
  <c r="P131" i="9" s="1"/>
  <c r="N133" i="9"/>
  <c r="O133" i="9"/>
  <c r="T136" i="9"/>
  <c r="T135" i="9" s="1"/>
  <c r="S136" i="9"/>
  <c r="R136" i="9"/>
  <c r="R135" i="9" s="1"/>
  <c r="Q136" i="9"/>
  <c r="Q135" i="9" s="1"/>
  <c r="P136" i="9"/>
  <c r="P135" i="9" s="1"/>
  <c r="M140" i="9"/>
  <c r="D140" i="9" s="1"/>
  <c r="T139" i="9"/>
  <c r="Q78" i="1" s="1"/>
  <c r="S139" i="9"/>
  <c r="P78" i="1" s="1"/>
  <c r="R139" i="9"/>
  <c r="R129" i="9" s="1"/>
  <c r="O78" i="1" s="1"/>
  <c r="Q139" i="9"/>
  <c r="Q129" i="9" s="1"/>
  <c r="N78" i="1" s="1"/>
  <c r="P139" i="9"/>
  <c r="O139" i="9"/>
  <c r="O128" i="9" s="1"/>
  <c r="N139" i="9"/>
  <c r="N129" i="9" s="1"/>
  <c r="M139" i="9"/>
  <c r="M129" i="9" s="1"/>
  <c r="L139" i="9"/>
  <c r="L129" i="9" s="1"/>
  <c r="L128" i="9" s="1"/>
  <c r="L127" i="9" s="1"/>
  <c r="K139" i="9"/>
  <c r="K129" i="9" s="1"/>
  <c r="K128" i="9" s="1"/>
  <c r="K127" i="9" s="1"/>
  <c r="J139" i="9"/>
  <c r="J129" i="9" s="1"/>
  <c r="J128" i="9" s="1"/>
  <c r="J127" i="9" s="1"/>
  <c r="I139" i="9"/>
  <c r="I129" i="9" s="1"/>
  <c r="I128" i="9" s="1"/>
  <c r="I127" i="9" s="1"/>
  <c r="H139" i="9"/>
  <c r="H129" i="9" s="1"/>
  <c r="H128" i="9" s="1"/>
  <c r="H127" i="9" s="1"/>
  <c r="G139" i="9"/>
  <c r="G129" i="9" s="1"/>
  <c r="G128" i="9" s="1"/>
  <c r="G127" i="9" s="1"/>
  <c r="F139" i="9"/>
  <c r="F129" i="9" s="1"/>
  <c r="F128" i="9" s="1"/>
  <c r="F127" i="9" s="1"/>
  <c r="E139" i="9"/>
  <c r="E129" i="9" s="1"/>
  <c r="E128" i="9" s="1"/>
  <c r="E127" i="9" s="1"/>
  <c r="T138" i="9"/>
  <c r="S138" i="9"/>
  <c r="R138" i="9"/>
  <c r="Q138" i="9"/>
  <c r="P138" i="9"/>
  <c r="O138" i="9"/>
  <c r="O127" i="9" s="1"/>
  <c r="N138" i="9"/>
  <c r="M138" i="9"/>
  <c r="L138" i="9"/>
  <c r="K138" i="9"/>
  <c r="J138" i="9"/>
  <c r="I138" i="9"/>
  <c r="H138" i="9"/>
  <c r="G138" i="9"/>
  <c r="F138" i="9"/>
  <c r="E138" i="9"/>
  <c r="D137" i="9"/>
  <c r="N136" i="9"/>
  <c r="N135" i="9" s="1"/>
  <c r="O136" i="9"/>
  <c r="O135" i="9" s="1"/>
  <c r="M136" i="9"/>
  <c r="M135" i="9" s="1"/>
  <c r="L136" i="9"/>
  <c r="L135" i="9" s="1"/>
  <c r="K136" i="9"/>
  <c r="J136" i="9"/>
  <c r="J135" i="9" s="1"/>
  <c r="I136" i="9"/>
  <c r="H136" i="9"/>
  <c r="H135" i="9" s="1"/>
  <c r="G136" i="9"/>
  <c r="F136" i="9"/>
  <c r="F135" i="9" s="1"/>
  <c r="E136" i="9"/>
  <c r="S135" i="9"/>
  <c r="K135" i="9"/>
  <c r="I135" i="9"/>
  <c r="G135" i="9"/>
  <c r="E135" i="9"/>
  <c r="N132" i="9" l="1"/>
  <c r="N131" i="9" s="1"/>
  <c r="M133" i="9"/>
  <c r="D138" i="9"/>
  <c r="N121" i="9"/>
  <c r="P121" i="9"/>
  <c r="S121" i="9"/>
  <c r="Q121" i="9"/>
  <c r="D129" i="9"/>
  <c r="T121" i="9"/>
  <c r="R121" i="9"/>
  <c r="Q128" i="9"/>
  <c r="Q127" i="9" s="1"/>
  <c r="S128" i="9"/>
  <c r="S127" i="9" s="1"/>
  <c r="N126" i="9"/>
  <c r="N124" i="9" s="1"/>
  <c r="D125" i="9"/>
  <c r="V65" i="1"/>
  <c r="N128" i="9"/>
  <c r="N127" i="9" s="1"/>
  <c r="R128" i="9"/>
  <c r="R127" i="9" s="1"/>
  <c r="D139" i="9"/>
  <c r="P128" i="9"/>
  <c r="P127" i="9" s="1"/>
  <c r="J232" i="2"/>
  <c r="J231" i="2" s="1"/>
  <c r="I233" i="2"/>
  <c r="M128" i="9"/>
  <c r="O132" i="9"/>
  <c r="O131" i="9" s="1"/>
  <c r="O121" i="9" s="1"/>
  <c r="M132" i="9"/>
  <c r="D135" i="9"/>
  <c r="D136" i="9"/>
  <c r="N40" i="3"/>
  <c r="M40" i="3" s="1"/>
  <c r="N38" i="3"/>
  <c r="N35" i="3"/>
  <c r="M35" i="3" s="1"/>
  <c r="D35" i="3" s="1"/>
  <c r="N33" i="3"/>
  <c r="M33" i="3" l="1"/>
  <c r="D33" i="3" s="1"/>
  <c r="M38" i="3"/>
  <c r="D38" i="3" s="1"/>
  <c r="M126" i="9"/>
  <c r="D133" i="9"/>
  <c r="X121" i="9"/>
  <c r="M131" i="9"/>
  <c r="M121" i="9" s="1"/>
  <c r="M127" i="9"/>
  <c r="D127" i="9" s="1"/>
  <c r="D128" i="9"/>
  <c r="D121" i="9"/>
  <c r="I232" i="2"/>
  <c r="I231" i="2" s="1"/>
  <c r="H233" i="2"/>
  <c r="D132" i="9" l="1"/>
  <c r="D131" i="9" s="1"/>
  <c r="D126" i="9"/>
  <c r="D124" i="9" s="1"/>
  <c r="D123" i="9" s="1"/>
  <c r="H232" i="2"/>
  <c r="H231" i="2" s="1"/>
  <c r="G233" i="2"/>
  <c r="G232" i="2" l="1"/>
  <c r="G231" i="2" s="1"/>
  <c r="F233" i="2"/>
  <c r="P42" i="5"/>
  <c r="P20" i="5" s="1"/>
  <c r="F232" i="2" l="1"/>
  <c r="F231" i="2" s="1"/>
  <c r="E233" i="2"/>
  <c r="E232" i="2" s="1"/>
  <c r="O395" i="2" l="1"/>
  <c r="D395" i="2" s="1"/>
  <c r="D379" i="2" s="1"/>
  <c r="O388" i="2"/>
  <c r="D388" i="2" s="1"/>
  <c r="D372" i="2" s="1"/>
  <c r="K111" i="8" l="1"/>
  <c r="K108" i="8"/>
  <c r="X209" i="2" l="1"/>
  <c r="X208" i="2" s="1"/>
  <c r="X207" i="2" s="1"/>
  <c r="O209" i="2"/>
  <c r="P52" i="2"/>
  <c r="O441" i="2" l="1"/>
  <c r="P441" i="2"/>
  <c r="Q441" i="2"/>
  <c r="R441" i="2"/>
  <c r="E507" i="2"/>
  <c r="F507" i="2"/>
  <c r="G507" i="2"/>
  <c r="H507" i="2"/>
  <c r="I507" i="2"/>
  <c r="J507" i="2"/>
  <c r="K507" i="2"/>
  <c r="N507" i="2"/>
  <c r="O507" i="2"/>
  <c r="P507" i="2"/>
  <c r="Q507" i="2"/>
  <c r="R507" i="2"/>
  <c r="R506" i="2" s="1"/>
  <c r="O101" i="1" s="1"/>
  <c r="T507" i="2"/>
  <c r="D441" i="2"/>
  <c r="O32" i="10" l="1"/>
  <c r="N32" i="10"/>
  <c r="M32" i="10"/>
  <c r="O33" i="10"/>
  <c r="N33" i="10"/>
  <c r="H82" i="6" l="1"/>
  <c r="H74" i="6"/>
  <c r="G16" i="6" l="1"/>
  <c r="G14" i="6" s="1"/>
  <c r="G23" i="6"/>
  <c r="G22" i="6" s="1"/>
  <c r="G25" i="6"/>
  <c r="F16" i="6"/>
  <c r="F14" i="6" s="1"/>
  <c r="F23" i="6"/>
  <c r="F22" i="6" s="1"/>
  <c r="F21" i="6" s="1"/>
  <c r="F25" i="6"/>
  <c r="G21" i="6" l="1"/>
  <c r="G121" i="9"/>
  <c r="H121" i="9"/>
  <c r="F121" i="9"/>
  <c r="H10" i="7"/>
  <c r="G10" i="7"/>
  <c r="F10" i="7"/>
  <c r="H14" i="7"/>
  <c r="G14" i="7"/>
  <c r="F14" i="7"/>
  <c r="O98" i="5" l="1"/>
  <c r="O101" i="5"/>
  <c r="O97" i="5" l="1"/>
  <c r="P21" i="4"/>
  <c r="P20" i="4" s="1"/>
  <c r="Q21" i="4"/>
  <c r="R21" i="4"/>
  <c r="R20" i="4" s="1"/>
  <c r="S21" i="4"/>
  <c r="T21" i="4"/>
  <c r="X60" i="8"/>
  <c r="X21" i="8" s="1"/>
  <c r="X59" i="8"/>
  <c r="X57" i="8"/>
  <c r="X16" i="8" s="1"/>
  <c r="X56" i="8"/>
  <c r="T20" i="4" l="1"/>
  <c r="S20" i="4"/>
  <c r="Q20" i="4"/>
  <c r="X55" i="8"/>
  <c r="X15" i="8"/>
  <c r="X20" i="8"/>
  <c r="X58" i="8"/>
  <c r="T53" i="7"/>
  <c r="T51" i="7"/>
  <c r="T50" i="7"/>
  <c r="T48" i="7"/>
  <c r="T45" i="7"/>
  <c r="T44" i="7" s="1"/>
  <c r="S53" i="7"/>
  <c r="S51" i="7"/>
  <c r="S50" i="7" s="1"/>
  <c r="S48" i="7"/>
  <c r="S45" i="7"/>
  <c r="S44" i="7" s="1"/>
  <c r="T65" i="7"/>
  <c r="T63" i="7"/>
  <c r="T62" i="7" s="1"/>
  <c r="T60" i="7"/>
  <c r="T57" i="7"/>
  <c r="S65" i="7"/>
  <c r="S63" i="7"/>
  <c r="S62" i="7" s="1"/>
  <c r="S60" i="7"/>
  <c r="S57" i="7"/>
  <c r="S56" i="7" s="1"/>
  <c r="T89" i="7"/>
  <c r="T87" i="7"/>
  <c r="T86" i="7" s="1"/>
  <c r="T84" i="7"/>
  <c r="T81" i="7"/>
  <c r="S89" i="7"/>
  <c r="S87" i="7"/>
  <c r="S86" i="7" s="1"/>
  <c r="S84" i="7"/>
  <c r="S81" i="7"/>
  <c r="T77" i="7"/>
  <c r="T75" i="7"/>
  <c r="T72" i="7"/>
  <c r="T69" i="7"/>
  <c r="S77" i="7"/>
  <c r="S75" i="7"/>
  <c r="S72" i="7"/>
  <c r="S69" i="7"/>
  <c r="T36" i="7"/>
  <c r="T33" i="7"/>
  <c r="S36" i="7"/>
  <c r="S33" i="7"/>
  <c r="S32" i="7" s="1"/>
  <c r="T41" i="7"/>
  <c r="T39" i="7"/>
  <c r="S41" i="7"/>
  <c r="S39" i="7"/>
  <c r="S38" i="7" s="1"/>
  <c r="S24" i="7"/>
  <c r="S23" i="7" s="1"/>
  <c r="T24" i="7"/>
  <c r="T23" i="7" s="1"/>
  <c r="P10" i="7"/>
  <c r="P8" i="7" s="1"/>
  <c r="Q10" i="7"/>
  <c r="Q8" i="7" s="1"/>
  <c r="R10" i="7"/>
  <c r="R8" i="7" s="1"/>
  <c r="S10" i="7"/>
  <c r="S8" i="7" s="1"/>
  <c r="T10" i="7"/>
  <c r="T8" i="7" s="1"/>
  <c r="P13" i="7"/>
  <c r="M66" i="1" s="1"/>
  <c r="Q13" i="7"/>
  <c r="N66" i="1" s="1"/>
  <c r="R13" i="7"/>
  <c r="O66" i="1" s="1"/>
  <c r="S13" i="7"/>
  <c r="P66" i="1" s="1"/>
  <c r="T13" i="7"/>
  <c r="Q66" i="1" s="1"/>
  <c r="P14" i="7"/>
  <c r="Q14" i="7"/>
  <c r="R14" i="7"/>
  <c r="S14" i="7"/>
  <c r="T14" i="7"/>
  <c r="P16" i="7"/>
  <c r="P15" i="7" s="1"/>
  <c r="Q16" i="7"/>
  <c r="Q15" i="7" s="1"/>
  <c r="R16" i="7"/>
  <c r="R15" i="7" s="1"/>
  <c r="S16" i="7"/>
  <c r="S15" i="7" s="1"/>
  <c r="T16" i="7"/>
  <c r="T15" i="7" s="1"/>
  <c r="P19" i="7"/>
  <c r="Q19" i="7"/>
  <c r="R19" i="7"/>
  <c r="O79" i="1" s="1"/>
  <c r="O139" i="1" s="1"/>
  <c r="O201" i="1" s="1"/>
  <c r="S19" i="7"/>
  <c r="T19" i="7"/>
  <c r="P21" i="7"/>
  <c r="P20" i="7" s="1"/>
  <c r="Q21" i="7"/>
  <c r="Q20" i="7" s="1"/>
  <c r="R21" i="7"/>
  <c r="R20" i="7" s="1"/>
  <c r="S21" i="7"/>
  <c r="S20" i="7" s="1"/>
  <c r="T21" i="7"/>
  <c r="T20" i="7" s="1"/>
  <c r="S10" i="8"/>
  <c r="T10" i="8"/>
  <c r="S11" i="8"/>
  <c r="T11" i="8"/>
  <c r="S13" i="8"/>
  <c r="T13" i="8"/>
  <c r="S19" i="8"/>
  <c r="P26" i="1" s="1"/>
  <c r="T19" i="8"/>
  <c r="Q26" i="1" s="1"/>
  <c r="S22" i="8"/>
  <c r="S27" i="8"/>
  <c r="T27" i="8"/>
  <c r="S28" i="8"/>
  <c r="P34" i="1" s="1"/>
  <c r="P135" i="1" s="1"/>
  <c r="P197" i="1" s="1"/>
  <c r="T28" i="8"/>
  <c r="Q34" i="1" s="1"/>
  <c r="Q135" i="1" s="1"/>
  <c r="Q197" i="1" s="1"/>
  <c r="S33" i="8"/>
  <c r="T33" i="8"/>
  <c r="S68" i="7" l="1"/>
  <c r="S74" i="7"/>
  <c r="T68" i="7"/>
  <c r="T74" i="7"/>
  <c r="S80" i="7"/>
  <c r="S18" i="7"/>
  <c r="P79" i="1"/>
  <c r="P139" i="1" s="1"/>
  <c r="P201" i="1" s="1"/>
  <c r="Q18" i="7"/>
  <c r="Q73" i="1"/>
  <c r="T18" i="7"/>
  <c r="Q79" i="1"/>
  <c r="Q139" i="1" s="1"/>
  <c r="Q201" i="1" s="1"/>
  <c r="P18" i="7"/>
  <c r="N73" i="1"/>
  <c r="N72" i="1" s="1"/>
  <c r="P73" i="1"/>
  <c r="P72" i="1" s="1"/>
  <c r="O73" i="1"/>
  <c r="O72" i="1" s="1"/>
  <c r="T30" i="8"/>
  <c r="S18" i="8"/>
  <c r="T9" i="8"/>
  <c r="T32" i="7"/>
  <c r="Q12" i="7"/>
  <c r="T38" i="7"/>
  <c r="X14" i="7"/>
  <c r="X12" i="7" s="1"/>
  <c r="X11" i="7" s="1"/>
  <c r="R12" i="7"/>
  <c r="T80" i="7"/>
  <c r="T56" i="7"/>
  <c r="R18" i="7"/>
  <c r="T24" i="8"/>
  <c r="X54" i="8"/>
  <c r="S9" i="8"/>
  <c r="P12" i="7"/>
  <c r="T18" i="8"/>
  <c r="T12" i="8" s="1"/>
  <c r="S30" i="8"/>
  <c r="S24" i="8"/>
  <c r="T12" i="7"/>
  <c r="S12" i="7"/>
  <c r="S11" i="7" s="1"/>
  <c r="S17" i="7"/>
  <c r="Q17" i="7"/>
  <c r="T11" i="7"/>
  <c r="R11" i="7"/>
  <c r="P11" i="7"/>
  <c r="T17" i="7"/>
  <c r="R17" i="7"/>
  <c r="P17" i="7"/>
  <c r="Q11" i="7"/>
  <c r="T23" i="8"/>
  <c r="S12" i="8"/>
  <c r="Q72" i="1" l="1"/>
  <c r="S23" i="8"/>
  <c r="T11" i="13"/>
  <c r="T10" i="13"/>
  <c r="T9" i="13" s="1"/>
  <c r="S11" i="13"/>
  <c r="S10" i="13"/>
  <c r="S9" i="13" s="1"/>
  <c r="R11" i="13"/>
  <c r="R10" i="13"/>
  <c r="R9" i="13" s="1"/>
  <c r="T19" i="13"/>
  <c r="T18" i="13" s="1"/>
  <c r="T17" i="13" s="1"/>
  <c r="S19" i="13"/>
  <c r="S18" i="13" s="1"/>
  <c r="S17" i="13" s="1"/>
  <c r="R19" i="13"/>
  <c r="Q19" i="13"/>
  <c r="Q18" i="13" s="1"/>
  <c r="Q17" i="13" s="1"/>
  <c r="P19" i="13"/>
  <c r="R18" i="13"/>
  <c r="R17" i="13" s="1"/>
  <c r="P18" i="13"/>
  <c r="P17" i="13" s="1"/>
  <c r="T16" i="13"/>
  <c r="T15" i="13" s="1"/>
  <c r="S16" i="13"/>
  <c r="S15" i="13" s="1"/>
  <c r="R16" i="13"/>
  <c r="R15" i="13" s="1"/>
  <c r="Q16" i="13"/>
  <c r="P16" i="13"/>
  <c r="X16" i="13" s="1"/>
  <c r="Q15" i="13"/>
  <c r="T14" i="13"/>
  <c r="T13" i="13" s="1"/>
  <c r="S14" i="13"/>
  <c r="R14" i="13"/>
  <c r="R13" i="13" s="1"/>
  <c r="Q14" i="13"/>
  <c r="P14" i="13"/>
  <c r="X14" i="13" s="1"/>
  <c r="X13" i="13" s="1"/>
  <c r="X12" i="13" s="1"/>
  <c r="S13" i="13"/>
  <c r="Q13" i="13"/>
  <c r="Q12" i="13" s="1"/>
  <c r="M40" i="13"/>
  <c r="R12" i="13" l="1"/>
  <c r="T12" i="13"/>
  <c r="P13" i="13"/>
  <c r="P15" i="13"/>
  <c r="M45" i="13"/>
  <c r="M44" i="13" s="1"/>
  <c r="S12" i="13"/>
  <c r="P12" i="13" l="1"/>
  <c r="G20" i="8"/>
  <c r="H20" i="8"/>
  <c r="E31" i="8"/>
  <c r="F31" i="8"/>
  <c r="G31" i="8"/>
  <c r="H31" i="8"/>
  <c r="F20" i="8" l="1"/>
  <c r="G14" i="8"/>
  <c r="M165" i="8" l="1"/>
  <c r="M162" i="8"/>
  <c r="M159" i="8"/>
  <c r="M158" i="8" s="1"/>
  <c r="M157" i="8"/>
  <c r="M156" i="8"/>
  <c r="M155" i="8" s="1"/>
  <c r="D165" i="8"/>
  <c r="D162" i="8"/>
  <c r="D159" i="8"/>
  <c r="D157" i="8"/>
  <c r="D156" i="8"/>
  <c r="M147" i="8"/>
  <c r="M141" i="8"/>
  <c r="M150" i="8"/>
  <c r="M144" i="8"/>
  <c r="M135" i="8"/>
  <c r="M134" i="8" s="1"/>
  <c r="M133" i="8" s="1"/>
  <c r="F102" i="8"/>
  <c r="G102" i="8"/>
  <c r="H102" i="8"/>
  <c r="F96" i="8"/>
  <c r="G96" i="8"/>
  <c r="H96" i="8"/>
  <c r="E96" i="8"/>
  <c r="M189" i="8"/>
  <c r="M195" i="8"/>
  <c r="M164" i="8" l="1"/>
  <c r="M161" i="8"/>
  <c r="M160" i="8"/>
  <c r="M154" i="8"/>
  <c r="M146" i="8"/>
  <c r="M140" i="8"/>
  <c r="M73" i="5"/>
  <c r="M48" i="5"/>
  <c r="M47" i="5" s="1"/>
  <c r="D31" i="5"/>
  <c r="D24" i="5"/>
  <c r="D26" i="5"/>
  <c r="M23" i="5"/>
  <c r="X24" i="5"/>
  <c r="X23" i="5" s="1"/>
  <c r="X26" i="5"/>
  <c r="X25" i="5" s="1"/>
  <c r="S51" i="5"/>
  <c r="T51" i="5"/>
  <c r="S15" i="5"/>
  <c r="T15" i="5"/>
  <c r="S16" i="5"/>
  <c r="T16" i="5"/>
  <c r="S19" i="5"/>
  <c r="S18" i="5" s="1"/>
  <c r="T19" i="5"/>
  <c r="T18" i="5" s="1"/>
  <c r="T30" i="5"/>
  <c r="S30" i="5"/>
  <c r="T28" i="5"/>
  <c r="S28" i="5"/>
  <c r="T27" i="5"/>
  <c r="S27" i="5"/>
  <c r="T25" i="5"/>
  <c r="S25" i="5"/>
  <c r="T23" i="5"/>
  <c r="S23" i="5"/>
  <c r="T22" i="5"/>
  <c r="S22" i="5"/>
  <c r="T34" i="5"/>
  <c r="T36" i="5"/>
  <c r="S41" i="5"/>
  <c r="S38" i="5" s="1"/>
  <c r="T41" i="5"/>
  <c r="T38" i="5" s="1"/>
  <c r="S45" i="5"/>
  <c r="T45" i="5"/>
  <c r="S48" i="5"/>
  <c r="S47" i="5" s="1"/>
  <c r="T48" i="5"/>
  <c r="T47" i="5" s="1"/>
  <c r="S72" i="5"/>
  <c r="S70" i="5" s="1"/>
  <c r="T72" i="5"/>
  <c r="T70" i="5" s="1"/>
  <c r="S74" i="5"/>
  <c r="T74" i="5"/>
  <c r="S80" i="5"/>
  <c r="T80" i="5"/>
  <c r="S77" i="5"/>
  <c r="T77" i="5"/>
  <c r="S76" i="5"/>
  <c r="T76" i="5"/>
  <c r="T98" i="5"/>
  <c r="S98" i="5"/>
  <c r="T92" i="5"/>
  <c r="S92" i="5"/>
  <c r="T105" i="5"/>
  <c r="S105" i="5"/>
  <c r="T104" i="5"/>
  <c r="S104" i="5"/>
  <c r="S19" i="9"/>
  <c r="T19" i="9"/>
  <c r="S18" i="9"/>
  <c r="T18" i="9"/>
  <c r="S17" i="9"/>
  <c r="T17" i="9"/>
  <c r="S15" i="9"/>
  <c r="T15" i="9"/>
  <c r="S14" i="9"/>
  <c r="T14" i="9"/>
  <c r="S13" i="9"/>
  <c r="T13" i="9"/>
  <c r="S12" i="9"/>
  <c r="T12" i="9"/>
  <c r="S11" i="9"/>
  <c r="T11" i="9"/>
  <c r="O25" i="9"/>
  <c r="O23" i="9"/>
  <c r="O22" i="9"/>
  <c r="T28" i="9"/>
  <c r="S28" i="9"/>
  <c r="S27" i="9" s="1"/>
  <c r="R28" i="9"/>
  <c r="Q28" i="9"/>
  <c r="Q27" i="9" s="1"/>
  <c r="P28" i="9"/>
  <c r="T27" i="9"/>
  <c r="R27" i="9"/>
  <c r="P27" i="9"/>
  <c r="T25" i="9"/>
  <c r="S25" i="9"/>
  <c r="R25" i="9"/>
  <c r="Q25" i="9"/>
  <c r="P25" i="9"/>
  <c r="T23" i="9"/>
  <c r="T22" i="9" s="1"/>
  <c r="S23" i="9"/>
  <c r="R23" i="9"/>
  <c r="R22" i="9" s="1"/>
  <c r="Q23" i="9"/>
  <c r="P23" i="9"/>
  <c r="P22" i="9" s="1"/>
  <c r="O34" i="9"/>
  <c r="O32" i="9"/>
  <c r="T46" i="9"/>
  <c r="T45" i="9" s="1"/>
  <c r="S46" i="9"/>
  <c r="S45" i="9" s="1"/>
  <c r="R46" i="9"/>
  <c r="R45" i="9" s="1"/>
  <c r="T43" i="9"/>
  <c r="S43" i="9"/>
  <c r="R43" i="9"/>
  <c r="T41" i="9"/>
  <c r="S41" i="9"/>
  <c r="R41" i="9"/>
  <c r="O50" i="9"/>
  <c r="O49" i="9" s="1"/>
  <c r="T53" i="9"/>
  <c r="T52" i="9" s="1"/>
  <c r="S53" i="9"/>
  <c r="S52" i="9" s="1"/>
  <c r="R53" i="9"/>
  <c r="R52" i="9" s="1"/>
  <c r="Q53" i="9"/>
  <c r="Q52" i="9" s="1"/>
  <c r="P53" i="9"/>
  <c r="P52" i="9" s="1"/>
  <c r="T50" i="9"/>
  <c r="S50" i="9"/>
  <c r="S49" i="9" s="1"/>
  <c r="R50" i="9"/>
  <c r="Q50" i="9"/>
  <c r="Q49" i="9" s="1"/>
  <c r="P50" i="9"/>
  <c r="P49" i="9" s="1"/>
  <c r="T49" i="9"/>
  <c r="R49" i="9"/>
  <c r="T62" i="9"/>
  <c r="T61" i="9" s="1"/>
  <c r="S62" i="9"/>
  <c r="S61" i="9" s="1"/>
  <c r="R62" i="9"/>
  <c r="R61" i="9" s="1"/>
  <c r="T59" i="9"/>
  <c r="T56" i="9" s="1"/>
  <c r="S59" i="9"/>
  <c r="R59" i="9"/>
  <c r="R56" i="9" s="1"/>
  <c r="S56" i="9"/>
  <c r="T69" i="9"/>
  <c r="T68" i="9" s="1"/>
  <c r="S69" i="9"/>
  <c r="R69" i="9"/>
  <c r="R68" i="9" s="1"/>
  <c r="S68" i="9"/>
  <c r="T65" i="9"/>
  <c r="S65" i="9"/>
  <c r="R65" i="9"/>
  <c r="T76" i="9"/>
  <c r="S76" i="9"/>
  <c r="S75" i="9" s="1"/>
  <c r="R76" i="9"/>
  <c r="T75" i="9"/>
  <c r="R75" i="9"/>
  <c r="T72" i="9"/>
  <c r="S72" i="9"/>
  <c r="R72" i="9"/>
  <c r="S122" i="9"/>
  <c r="T126" i="9"/>
  <c r="S126" i="9"/>
  <c r="S124" i="9" s="1"/>
  <c r="R126" i="9"/>
  <c r="S123" i="9"/>
  <c r="T122" i="9"/>
  <c r="T120" i="9" s="1"/>
  <c r="R122" i="9"/>
  <c r="R120" i="9" s="1"/>
  <c r="S120" i="9"/>
  <c r="M101" i="9"/>
  <c r="M100" i="9" s="1"/>
  <c r="M98" i="9"/>
  <c r="M95" i="9" s="1"/>
  <c r="T101" i="9"/>
  <c r="T100" i="9" s="1"/>
  <c r="S101" i="9"/>
  <c r="R101" i="9"/>
  <c r="R100" i="9" s="1"/>
  <c r="Q101" i="9"/>
  <c r="Q100" i="9" s="1"/>
  <c r="P101" i="9"/>
  <c r="P100" i="9" s="1"/>
  <c r="S100" i="9"/>
  <c r="T95" i="9"/>
  <c r="S95" i="9"/>
  <c r="R95" i="9"/>
  <c r="Q95" i="9"/>
  <c r="P95" i="9"/>
  <c r="T85" i="9"/>
  <c r="T84" i="9" s="1"/>
  <c r="S85" i="9"/>
  <c r="S84" i="9" s="1"/>
  <c r="R85" i="9"/>
  <c r="R84" i="9" s="1"/>
  <c r="T79" i="9"/>
  <c r="S79" i="9"/>
  <c r="R79" i="9"/>
  <c r="M82" i="9"/>
  <c r="M79" i="9" s="1"/>
  <c r="M76" i="9"/>
  <c r="M75" i="9" s="1"/>
  <c r="M69" i="9"/>
  <c r="M68" i="9" s="1"/>
  <c r="T37" i="9"/>
  <c r="T36" i="9" s="1"/>
  <c r="S37" i="9"/>
  <c r="R37" i="9"/>
  <c r="R36" i="9" s="1"/>
  <c r="Q37" i="9"/>
  <c r="Q36" i="9" s="1"/>
  <c r="P37" i="9"/>
  <c r="P36" i="9" s="1"/>
  <c r="S36" i="9"/>
  <c r="T34" i="9"/>
  <c r="S34" i="9"/>
  <c r="R34" i="9"/>
  <c r="Q34" i="9"/>
  <c r="P34" i="9"/>
  <c r="T32" i="9"/>
  <c r="S32" i="9"/>
  <c r="R32" i="9"/>
  <c r="Q32" i="9"/>
  <c r="P32" i="9"/>
  <c r="M37" i="9"/>
  <c r="M36" i="9" s="1"/>
  <c r="R40" i="9" l="1"/>
  <c r="T40" i="9"/>
  <c r="T69" i="5"/>
  <c r="S69" i="5"/>
  <c r="Q22" i="9"/>
  <c r="R37" i="10"/>
  <c r="Q37" i="10"/>
  <c r="R35" i="10"/>
  <c r="Q35" i="10"/>
  <c r="P35" i="10"/>
  <c r="S14" i="5"/>
  <c r="S13" i="5" s="1"/>
  <c r="T31" i="9"/>
  <c r="T10" i="9" s="1"/>
  <c r="S40" i="9"/>
  <c r="X22" i="5"/>
  <c r="S22" i="9"/>
  <c r="S9" i="9" s="1"/>
  <c r="R124" i="9"/>
  <c r="R123" i="9" s="1"/>
  <c r="T124" i="9"/>
  <c r="T123" i="9" s="1"/>
  <c r="T33" i="5"/>
  <c r="M30" i="5"/>
  <c r="M27" i="5" s="1"/>
  <c r="T44" i="5"/>
  <c r="R36" i="10" s="1"/>
  <c r="T14" i="5"/>
  <c r="T13" i="5" s="1"/>
  <c r="S44" i="5"/>
  <c r="Q36" i="10" s="1"/>
  <c r="M25" i="5"/>
  <c r="M22" i="5" s="1"/>
  <c r="O31" i="9"/>
  <c r="Q31" i="9"/>
  <c r="S31" i="9"/>
  <c r="S10" i="9" s="1"/>
  <c r="P31" i="9"/>
  <c r="R31" i="9"/>
  <c r="R10" i="9" s="1"/>
  <c r="M85" i="9"/>
  <c r="M84" i="9" s="1"/>
  <c r="T9" i="9"/>
  <c r="T8" i="9" s="1"/>
  <c r="M120" i="9"/>
  <c r="P75" i="4"/>
  <c r="P72" i="4" s="1"/>
  <c r="Q75" i="4"/>
  <c r="R75" i="4"/>
  <c r="S75" i="4"/>
  <c r="T75" i="4"/>
  <c r="Q73" i="4"/>
  <c r="R73" i="4"/>
  <c r="S73" i="4"/>
  <c r="T73" i="4"/>
  <c r="Q72" i="4"/>
  <c r="R72" i="4"/>
  <c r="S72" i="4"/>
  <c r="T72" i="4"/>
  <c r="P70" i="4"/>
  <c r="Q70" i="4"/>
  <c r="R70" i="4"/>
  <c r="S70" i="4"/>
  <c r="T70" i="4"/>
  <c r="P67" i="4"/>
  <c r="Q67" i="4"/>
  <c r="R67" i="4"/>
  <c r="S67" i="4"/>
  <c r="T67" i="4"/>
  <c r="T66" i="4" s="1"/>
  <c r="Q62" i="4"/>
  <c r="R62" i="4"/>
  <c r="S62" i="4"/>
  <c r="T62" i="4"/>
  <c r="Q61" i="4"/>
  <c r="R61" i="4"/>
  <c r="S61" i="4"/>
  <c r="T61" i="4"/>
  <c r="Q54" i="4"/>
  <c r="R54" i="4"/>
  <c r="S54" i="4"/>
  <c r="T54" i="4"/>
  <c r="Q53" i="4"/>
  <c r="R53" i="4"/>
  <c r="S53" i="4"/>
  <c r="T53" i="4"/>
  <c r="P45" i="4"/>
  <c r="Q45" i="4"/>
  <c r="R45" i="4"/>
  <c r="S45" i="4"/>
  <c r="T45" i="4"/>
  <c r="P41" i="4"/>
  <c r="P40" i="4" s="1"/>
  <c r="Q41" i="4"/>
  <c r="R41" i="4"/>
  <c r="R40" i="4" s="1"/>
  <c r="S41" i="4"/>
  <c r="T41" i="4"/>
  <c r="T40" i="4" s="1"/>
  <c r="P48" i="4"/>
  <c r="Q48" i="4"/>
  <c r="R48" i="4"/>
  <c r="S48" i="4"/>
  <c r="T48" i="4"/>
  <c r="P50" i="4"/>
  <c r="Q50" i="4"/>
  <c r="R50" i="4"/>
  <c r="S50" i="4"/>
  <c r="T50" i="4"/>
  <c r="F21" i="4"/>
  <c r="G21" i="4"/>
  <c r="H21" i="4"/>
  <c r="I21" i="4"/>
  <c r="J21" i="4"/>
  <c r="K21" i="4"/>
  <c r="L21" i="4"/>
  <c r="S79" i="4"/>
  <c r="T79" i="4"/>
  <c r="S78" i="4"/>
  <c r="T78" i="4"/>
  <c r="M113" i="4"/>
  <c r="M110" i="4" s="1"/>
  <c r="M104" i="4"/>
  <c r="Q94" i="4"/>
  <c r="R94" i="4"/>
  <c r="S94" i="4"/>
  <c r="T94" i="4"/>
  <c r="Q97" i="4"/>
  <c r="R97" i="4"/>
  <c r="S97" i="4"/>
  <c r="T97" i="4"/>
  <c r="Q100" i="4"/>
  <c r="Q99" i="4" s="1"/>
  <c r="R100" i="4"/>
  <c r="R99" i="4" s="1"/>
  <c r="S100" i="4"/>
  <c r="S99" i="4" s="1"/>
  <c r="T100" i="4"/>
  <c r="T99" i="4" s="1"/>
  <c r="Q113" i="4"/>
  <c r="R113" i="4"/>
  <c r="S113" i="4"/>
  <c r="T113" i="4"/>
  <c r="Q110" i="4"/>
  <c r="R110" i="4"/>
  <c r="S110" i="4"/>
  <c r="T110" i="4"/>
  <c r="Q108" i="4"/>
  <c r="R108" i="4"/>
  <c r="S108" i="4"/>
  <c r="T108" i="4"/>
  <c r="Q104" i="4"/>
  <c r="R104" i="4"/>
  <c r="S104" i="4"/>
  <c r="T104" i="4"/>
  <c r="Q103" i="4"/>
  <c r="R103" i="4"/>
  <c r="S103" i="4"/>
  <c r="T103" i="4"/>
  <c r="S89" i="4"/>
  <c r="S88" i="4" s="1"/>
  <c r="T89" i="4"/>
  <c r="T88" i="4" s="1"/>
  <c r="Q27" i="4"/>
  <c r="R27" i="4"/>
  <c r="S27" i="4"/>
  <c r="P82" i="1" s="1"/>
  <c r="P81" i="1" s="1"/>
  <c r="T27" i="4"/>
  <c r="Q82" i="1" s="1"/>
  <c r="Q81" i="1" s="1"/>
  <c r="Q25" i="4"/>
  <c r="R25" i="4"/>
  <c r="S25" i="4"/>
  <c r="T25" i="4"/>
  <c r="Q24" i="4"/>
  <c r="N76" i="1" s="1"/>
  <c r="R24" i="4"/>
  <c r="O76" i="1" s="1"/>
  <c r="S24" i="4"/>
  <c r="P76" i="1" s="1"/>
  <c r="T24" i="4"/>
  <c r="Q76" i="1" s="1"/>
  <c r="Q19" i="4"/>
  <c r="R19" i="4"/>
  <c r="S19" i="4"/>
  <c r="T19" i="4"/>
  <c r="R18" i="4"/>
  <c r="O69" i="1" s="1"/>
  <c r="S18" i="4"/>
  <c r="P69" i="1" s="1"/>
  <c r="T18" i="4"/>
  <c r="Q69" i="1" s="1"/>
  <c r="T17" i="4"/>
  <c r="Q67" i="1" s="1"/>
  <c r="M89" i="4"/>
  <c r="M88" i="4" s="1"/>
  <c r="M79" i="4"/>
  <c r="M78" i="4" s="1"/>
  <c r="Q122" i="1" l="1"/>
  <c r="Q184" i="1" s="1"/>
  <c r="S8" i="9"/>
  <c r="P66" i="4"/>
  <c r="S11" i="5"/>
  <c r="T11" i="5"/>
  <c r="Q34" i="10"/>
  <c r="R34" i="10"/>
  <c r="P34" i="10"/>
  <c r="R26" i="4"/>
  <c r="O82" i="1"/>
  <c r="O81" i="1" s="1"/>
  <c r="Q26" i="4"/>
  <c r="S40" i="4"/>
  <c r="Q40" i="4"/>
  <c r="S10" i="5"/>
  <c r="T10" i="5"/>
  <c r="S47" i="4"/>
  <c r="Q47" i="4"/>
  <c r="T47" i="4"/>
  <c r="R47" i="4"/>
  <c r="P47" i="4"/>
  <c r="D104" i="4"/>
  <c r="M94" i="4"/>
  <c r="M50" i="4"/>
  <c r="M47" i="4" s="1"/>
  <c r="M48" i="4"/>
  <c r="S23" i="4"/>
  <c r="Q23" i="4"/>
  <c r="S26" i="4"/>
  <c r="S93" i="4"/>
  <c r="Q93" i="4"/>
  <c r="Q66" i="4"/>
  <c r="T23" i="4"/>
  <c r="R23" i="4"/>
  <c r="T26" i="4"/>
  <c r="T93" i="4"/>
  <c r="R93" i="4"/>
  <c r="M124" i="9"/>
  <c r="S66" i="4"/>
  <c r="R66" i="4"/>
  <c r="R22" i="4"/>
  <c r="S22" i="4"/>
  <c r="Q22" i="4"/>
  <c r="M84" i="4"/>
  <c r="M83" i="4" s="1"/>
  <c r="M100" i="4"/>
  <c r="M99" i="4" s="1"/>
  <c r="T14" i="4"/>
  <c r="T13" i="4" s="1"/>
  <c r="T10" i="4"/>
  <c r="X45" i="3"/>
  <c r="X57" i="3"/>
  <c r="X56" i="3"/>
  <c r="X55" i="3" s="1"/>
  <c r="X59" i="3"/>
  <c r="X58" i="3" s="1"/>
  <c r="T180" i="3"/>
  <c r="S180" i="3"/>
  <c r="R180" i="3"/>
  <c r="P10" i="10" s="1"/>
  <c r="T178" i="3"/>
  <c r="S178" i="3"/>
  <c r="R178" i="3"/>
  <c r="T175" i="3"/>
  <c r="T174" i="3" s="1"/>
  <c r="S175" i="3"/>
  <c r="R175" i="3"/>
  <c r="R174" i="3"/>
  <c r="T147" i="3"/>
  <c r="S147" i="3"/>
  <c r="T145" i="3"/>
  <c r="S145" i="3"/>
  <c r="T144" i="3"/>
  <c r="R24" i="10" s="1"/>
  <c r="S144" i="3"/>
  <c r="Q24" i="10" s="1"/>
  <c r="Q24" i="3"/>
  <c r="Q23" i="3" s="1"/>
  <c r="R24" i="3"/>
  <c r="R23" i="3" s="1"/>
  <c r="P9" i="10" s="1"/>
  <c r="S24" i="3"/>
  <c r="S23" i="3" s="1"/>
  <c r="Q9" i="10" s="1"/>
  <c r="T24" i="3"/>
  <c r="T23" i="3" s="1"/>
  <c r="Q27" i="3"/>
  <c r="Q26" i="3" s="1"/>
  <c r="R27" i="3"/>
  <c r="R26" i="3" s="1"/>
  <c r="S27" i="3"/>
  <c r="S26" i="3" s="1"/>
  <c r="T27" i="3"/>
  <c r="T26" i="3" s="1"/>
  <c r="S536" i="2"/>
  <c r="S535" i="2" s="1"/>
  <c r="T536" i="2"/>
  <c r="T535" i="2" s="1"/>
  <c r="T327" i="2"/>
  <c r="T332" i="2"/>
  <c r="T331" i="2" s="1"/>
  <c r="R29" i="10" s="1"/>
  <c r="S332" i="2"/>
  <c r="S331" i="2" s="1"/>
  <c r="Q29" i="10" s="1"/>
  <c r="R332" i="2"/>
  <c r="R331" i="2" s="1"/>
  <c r="P29" i="10" s="1"/>
  <c r="Q332" i="2"/>
  <c r="Q331" i="2" s="1"/>
  <c r="R327" i="2"/>
  <c r="Q327" i="2"/>
  <c r="S329" i="2"/>
  <c r="R329" i="2"/>
  <c r="T503" i="2"/>
  <c r="T502" i="2" s="1"/>
  <c r="S503" i="2"/>
  <c r="S502" i="2" s="1"/>
  <c r="T467" i="2"/>
  <c r="T466" i="2" s="1"/>
  <c r="S467" i="2"/>
  <c r="S466" i="2" s="1"/>
  <c r="S437" i="2"/>
  <c r="P68" i="1" s="1"/>
  <c r="T437" i="2"/>
  <c r="Q68" i="1" s="1"/>
  <c r="S443" i="2"/>
  <c r="T443" i="2"/>
  <c r="Q77" i="1" s="1"/>
  <c r="Q75" i="1" s="1"/>
  <c r="Q74" i="1" s="1"/>
  <c r="Q85" i="1" s="1"/>
  <c r="T424" i="2"/>
  <c r="T422" i="2"/>
  <c r="S424" i="2"/>
  <c r="S422" i="2"/>
  <c r="T427" i="2"/>
  <c r="T426" i="2" s="1"/>
  <c r="S427" i="2"/>
  <c r="S426" i="2" s="1"/>
  <c r="T419" i="2"/>
  <c r="T418" i="2" s="1"/>
  <c r="T417" i="2" s="1"/>
  <c r="R39" i="10" s="1"/>
  <c r="T416" i="2"/>
  <c r="T415" i="2" s="1"/>
  <c r="T414" i="2"/>
  <c r="T413" i="2" s="1"/>
  <c r="S419" i="2"/>
  <c r="S418" i="2" s="1"/>
  <c r="S417" i="2" s="1"/>
  <c r="Q39" i="10" s="1"/>
  <c r="S416" i="2"/>
  <c r="S415" i="2" s="1"/>
  <c r="S414" i="2"/>
  <c r="S413" i="2" s="1"/>
  <c r="R419" i="2"/>
  <c r="R418" i="2" s="1"/>
  <c r="R417" i="2" s="1"/>
  <c r="P39" i="10" s="1"/>
  <c r="R416" i="2"/>
  <c r="R415" i="2" s="1"/>
  <c r="R414" i="2"/>
  <c r="R413" i="2" s="1"/>
  <c r="T398" i="2"/>
  <c r="T394" i="2"/>
  <c r="T390" i="2"/>
  <c r="T386" i="2"/>
  <c r="S398" i="2"/>
  <c r="S394" i="2"/>
  <c r="S390" i="2"/>
  <c r="S386" i="2"/>
  <c r="R398" i="2"/>
  <c r="R394" i="2"/>
  <c r="R390" i="2"/>
  <c r="R386" i="2"/>
  <c r="Q398" i="2"/>
  <c r="Q394" i="2"/>
  <c r="Q390" i="2"/>
  <c r="Q386" i="2"/>
  <c r="T376" i="2"/>
  <c r="T22" i="2" s="1"/>
  <c r="Q27" i="1" s="1"/>
  <c r="T375" i="2"/>
  <c r="T373" i="2"/>
  <c r="T372" i="2"/>
  <c r="T15" i="2" s="1"/>
  <c r="T371" i="2"/>
  <c r="S376" i="2"/>
  <c r="S22" i="2" s="1"/>
  <c r="P27" i="1" s="1"/>
  <c r="S375" i="2"/>
  <c r="S373" i="2"/>
  <c r="S372" i="2"/>
  <c r="S15" i="2" s="1"/>
  <c r="S371" i="2"/>
  <c r="T383" i="2"/>
  <c r="T34" i="2" s="1"/>
  <c r="Q42" i="1" s="1"/>
  <c r="T382" i="2"/>
  <c r="T380" i="2"/>
  <c r="T379" i="2"/>
  <c r="T25" i="2" s="1"/>
  <c r="S383" i="2"/>
  <c r="S34" i="2" s="1"/>
  <c r="P42" i="1" s="1"/>
  <c r="S382" i="2"/>
  <c r="S380" i="2"/>
  <c r="S379" i="2"/>
  <c r="S25" i="2" s="1"/>
  <c r="N329" i="2"/>
  <c r="T329" i="2"/>
  <c r="S327" i="2"/>
  <c r="Q329" i="2"/>
  <c r="M88" i="2"/>
  <c r="X88" i="2"/>
  <c r="X87" i="2" s="1"/>
  <c r="X82" i="2" s="1"/>
  <c r="T83" i="2"/>
  <c r="S83" i="2"/>
  <c r="R83" i="2"/>
  <c r="Q83" i="2"/>
  <c r="T82" i="2"/>
  <c r="S82" i="2"/>
  <c r="R82" i="2"/>
  <c r="Q82" i="2"/>
  <c r="S38" i="2"/>
  <c r="T38" i="2"/>
  <c r="S39" i="2"/>
  <c r="S16" i="2" s="1"/>
  <c r="P21" i="1" s="1"/>
  <c r="T39" i="2"/>
  <c r="T16" i="2" s="1"/>
  <c r="Q21" i="1" s="1"/>
  <c r="S40" i="2"/>
  <c r="S18" i="2" s="1"/>
  <c r="P23" i="1" s="1"/>
  <c r="P128" i="1" s="1"/>
  <c r="P189" i="1" s="1"/>
  <c r="T40" i="2"/>
  <c r="T18" i="2" s="1"/>
  <c r="Q23" i="1" s="1"/>
  <c r="S43" i="2"/>
  <c r="T43" i="2"/>
  <c r="S46" i="2"/>
  <c r="T46" i="2"/>
  <c r="S47" i="2"/>
  <c r="S28" i="2" s="1"/>
  <c r="P38" i="1" s="1"/>
  <c r="P142" i="1" s="1"/>
  <c r="P204" i="1" s="1"/>
  <c r="T47" i="2"/>
  <c r="T28" i="2" s="1"/>
  <c r="Q38" i="1" s="1"/>
  <c r="Q142" i="1" s="1"/>
  <c r="Q204" i="1" s="1"/>
  <c r="S48" i="2"/>
  <c r="S29" i="2" s="1"/>
  <c r="P39" i="1" s="1"/>
  <c r="P143" i="1" s="1"/>
  <c r="P205" i="1" s="1"/>
  <c r="T48" i="2"/>
  <c r="T29" i="2" s="1"/>
  <c r="Q39" i="1" s="1"/>
  <c r="Q143" i="1" s="1"/>
  <c r="Q205" i="1" s="1"/>
  <c r="S51" i="2"/>
  <c r="S31" i="2" s="1"/>
  <c r="T51" i="2"/>
  <c r="T31" i="2" s="1"/>
  <c r="S52" i="2"/>
  <c r="T52" i="2"/>
  <c r="M401" i="2"/>
  <c r="D401" i="2" s="1"/>
  <c r="D383" i="2" s="1"/>
  <c r="M396" i="2"/>
  <c r="D396" i="2" s="1"/>
  <c r="M379" i="2"/>
  <c r="I29" i="12"/>
  <c r="M192" i="2"/>
  <c r="M79" i="2"/>
  <c r="D79" i="2" s="1"/>
  <c r="Q128" i="1" l="1"/>
  <c r="Q189" i="1" s="1"/>
  <c r="P125" i="1"/>
  <c r="P186" i="1" s="1"/>
  <c r="T26" i="2"/>
  <c r="Q36" i="1" s="1"/>
  <c r="T45" i="2"/>
  <c r="T37" i="2"/>
  <c r="S17" i="2"/>
  <c r="S26" i="2"/>
  <c r="P36" i="1" s="1"/>
  <c r="S45" i="2"/>
  <c r="S37" i="2"/>
  <c r="S27" i="2"/>
  <c r="T27" i="2"/>
  <c r="T17" i="2"/>
  <c r="Q137" i="1"/>
  <c r="Q199" i="1" s="1"/>
  <c r="Q125" i="1"/>
  <c r="Q186" i="1" s="1"/>
  <c r="S174" i="3"/>
  <c r="Q10" i="10"/>
  <c r="R10" i="10"/>
  <c r="T22" i="4"/>
  <c r="T9" i="3"/>
  <c r="T8" i="3" s="1"/>
  <c r="R9" i="10"/>
  <c r="P145" i="1"/>
  <c r="P207" i="1" s="1"/>
  <c r="Q145" i="1"/>
  <c r="Q207" i="1" s="1"/>
  <c r="Q130" i="1"/>
  <c r="Q192" i="1" s="1"/>
  <c r="P130" i="1"/>
  <c r="P192" i="1" s="1"/>
  <c r="S440" i="2"/>
  <c r="S439" i="2" s="1"/>
  <c r="P102" i="1" s="1"/>
  <c r="P100" i="1" s="1"/>
  <c r="P77" i="1"/>
  <c r="P75" i="1" s="1"/>
  <c r="P74" i="1" s="1"/>
  <c r="P85" i="1" s="1"/>
  <c r="I28" i="12"/>
  <c r="X44" i="3"/>
  <c r="X47" i="3"/>
  <c r="X54" i="3"/>
  <c r="S9" i="3"/>
  <c r="S8" i="3"/>
  <c r="T440" i="2"/>
  <c r="T439" i="2" s="1"/>
  <c r="Q102" i="1" s="1"/>
  <c r="Q100" i="1" s="1"/>
  <c r="Q99" i="1" s="1"/>
  <c r="M25" i="2"/>
  <c r="M372" i="2"/>
  <c r="M15" i="2" s="1"/>
  <c r="M376" i="2"/>
  <c r="M22" i="2" s="1"/>
  <c r="J27" i="1" s="1"/>
  <c r="J130" i="1" s="1"/>
  <c r="J192" i="1" s="1"/>
  <c r="T33" i="2"/>
  <c r="Q45" i="1" s="1"/>
  <c r="M190" i="2"/>
  <c r="M189" i="2" s="1"/>
  <c r="I27" i="12" s="1"/>
  <c r="S432" i="2"/>
  <c r="T20" i="2"/>
  <c r="Q28" i="1" s="1"/>
  <c r="Q127" i="1" s="1"/>
  <c r="Q188" i="1" s="1"/>
  <c r="T432" i="2"/>
  <c r="S21" i="2"/>
  <c r="S42" i="2"/>
  <c r="T21" i="2"/>
  <c r="T42" i="2"/>
  <c r="M123" i="9"/>
  <c r="S32" i="2"/>
  <c r="P44" i="1" s="1"/>
  <c r="P144" i="1" s="1"/>
  <c r="P206" i="1" s="1"/>
  <c r="T14" i="2"/>
  <c r="Q18" i="1" s="1"/>
  <c r="T32" i="2"/>
  <c r="Q44" i="1" s="1"/>
  <c r="Q144" i="1" s="1"/>
  <c r="Q206" i="1" s="1"/>
  <c r="Q393" i="2"/>
  <c r="R385" i="2"/>
  <c r="R11" i="2" s="1"/>
  <c r="R393" i="2"/>
  <c r="S385" i="2"/>
  <c r="S11" i="2" s="1"/>
  <c r="S393" i="2"/>
  <c r="T385" i="2"/>
  <c r="T11" i="2" s="1"/>
  <c r="T393" i="2"/>
  <c r="S14" i="2"/>
  <c r="P18" i="1" s="1"/>
  <c r="S421" i="2"/>
  <c r="T421" i="2"/>
  <c r="P28" i="1"/>
  <c r="P127" i="1" s="1"/>
  <c r="P188" i="1" s="1"/>
  <c r="S33" i="2"/>
  <c r="P45" i="1" s="1"/>
  <c r="S374" i="2"/>
  <c r="T370" i="2"/>
  <c r="T412" i="2"/>
  <c r="R38" i="10" s="1"/>
  <c r="S431" i="2"/>
  <c r="T431" i="2"/>
  <c r="T374" i="2"/>
  <c r="Q385" i="2"/>
  <c r="Q11" i="2" s="1"/>
  <c r="M51" i="2"/>
  <c r="M31" i="2" s="1"/>
  <c r="M383" i="2"/>
  <c r="M34" i="2" s="1"/>
  <c r="J42" i="1" s="1"/>
  <c r="J145" i="1" s="1"/>
  <c r="J207" i="1" s="1"/>
  <c r="M463" i="2"/>
  <c r="M462" i="2" s="1"/>
  <c r="M416" i="2"/>
  <c r="M415" i="2" s="1"/>
  <c r="M447" i="2"/>
  <c r="M446" i="2" s="1"/>
  <c r="M491" i="2"/>
  <c r="M490" i="2" s="1"/>
  <c r="M536" i="2"/>
  <c r="M535" i="2" s="1"/>
  <c r="S378" i="2"/>
  <c r="S381" i="2"/>
  <c r="T378" i="2"/>
  <c r="T381" i="2"/>
  <c r="S370" i="2"/>
  <c r="R326" i="2"/>
  <c r="P28" i="10" s="1"/>
  <c r="T434" i="2"/>
  <c r="T433" i="2" s="1"/>
  <c r="S434" i="2"/>
  <c r="S433" i="2" s="1"/>
  <c r="S412" i="2"/>
  <c r="Q38" i="10" s="1"/>
  <c r="R412" i="2"/>
  <c r="T326" i="2"/>
  <c r="R28" i="10" s="1"/>
  <c r="S326" i="2"/>
  <c r="Q28" i="10" s="1"/>
  <c r="Q326" i="2"/>
  <c r="T50" i="2"/>
  <c r="S50" i="2"/>
  <c r="M424" i="2"/>
  <c r="T24" i="2" l="1"/>
  <c r="Q37" i="1"/>
  <c r="Q138" i="1" s="1"/>
  <c r="Q200" i="1" s="1"/>
  <c r="Q126" i="1"/>
  <c r="Q187" i="1" s="1"/>
  <c r="P37" i="1"/>
  <c r="P138" i="1" s="1"/>
  <c r="P200" i="1" s="1"/>
  <c r="P126" i="1"/>
  <c r="P187" i="1" s="1"/>
  <c r="Q30" i="1"/>
  <c r="P30" i="1"/>
  <c r="P131" i="1" s="1"/>
  <c r="P193" i="1" s="1"/>
  <c r="S24" i="2"/>
  <c r="T13" i="2"/>
  <c r="Q146" i="1"/>
  <c r="Q208" i="1" s="1"/>
  <c r="Q50" i="1"/>
  <c r="P50" i="1"/>
  <c r="P146" i="1"/>
  <c r="P208" i="1" s="1"/>
  <c r="P99" i="1"/>
  <c r="P137" i="1"/>
  <c r="P199" i="1" s="1"/>
  <c r="X46" i="3"/>
  <c r="X16" i="3"/>
  <c r="X43" i="3"/>
  <c r="X42" i="3" s="1"/>
  <c r="X13" i="3"/>
  <c r="T19" i="2"/>
  <c r="S377" i="2"/>
  <c r="Q12" i="10" s="1"/>
  <c r="S19" i="2"/>
  <c r="S13" i="2"/>
  <c r="S30" i="2"/>
  <c r="T369" i="2"/>
  <c r="T9" i="2"/>
  <c r="S9" i="2"/>
  <c r="T30" i="2"/>
  <c r="T23" i="2" s="1"/>
  <c r="S369" i="2"/>
  <c r="T377" i="2"/>
  <c r="R12" i="10" s="1"/>
  <c r="T36" i="2"/>
  <c r="R7" i="10" s="1"/>
  <c r="T430" i="2"/>
  <c r="S430" i="2"/>
  <c r="S36" i="2"/>
  <c r="Q7" i="10" s="1"/>
  <c r="S44" i="2"/>
  <c r="Q8" i="10" s="1"/>
  <c r="T44" i="2"/>
  <c r="R8" i="10" s="1"/>
  <c r="Q131" i="1" l="1"/>
  <c r="Q193" i="1" s="1"/>
  <c r="Q25" i="1"/>
  <c r="P25" i="1"/>
  <c r="T12" i="2"/>
  <c r="S23" i="2"/>
  <c r="P51" i="1"/>
  <c r="Q40" i="1"/>
  <c r="Q51" i="1"/>
  <c r="P40" i="1"/>
  <c r="S12" i="2"/>
  <c r="M187" i="3"/>
  <c r="M133" i="3"/>
  <c r="K24" i="10" l="1"/>
  <c r="K23" i="10"/>
  <c r="M39" i="3"/>
  <c r="M34" i="3"/>
  <c r="M37" i="3" l="1"/>
  <c r="M36" i="3" s="1"/>
  <c r="M87" i="3"/>
  <c r="N63" i="9"/>
  <c r="M89" i="6" l="1"/>
  <c r="M88" i="6"/>
  <c r="M69" i="6"/>
  <c r="M64" i="6"/>
  <c r="M62" i="6"/>
  <c r="M58" i="6"/>
  <c r="M53" i="6"/>
  <c r="M51" i="6"/>
  <c r="M67" i="6"/>
  <c r="M56" i="6"/>
  <c r="E23" i="6"/>
  <c r="E16" i="6"/>
  <c r="E14" i="6" s="1"/>
  <c r="E253" i="6"/>
  <c r="E252" i="6" s="1"/>
  <c r="E251" i="6" s="1"/>
  <c r="P253" i="6"/>
  <c r="P252" i="6" s="1"/>
  <c r="P251" i="6" s="1"/>
  <c r="Q253" i="6"/>
  <c r="Q252" i="6" s="1"/>
  <c r="Q251" i="6" s="1"/>
  <c r="R253" i="6"/>
  <c r="R252" i="6" s="1"/>
  <c r="R251" i="6" s="1"/>
  <c r="S253" i="6"/>
  <c r="S252" i="6" s="1"/>
  <c r="S251" i="6" s="1"/>
  <c r="T253" i="6"/>
  <c r="T252" i="6" s="1"/>
  <c r="T251" i="6" s="1"/>
  <c r="G253" i="6"/>
  <c r="G252" i="6" s="1"/>
  <c r="G251" i="6" s="1"/>
  <c r="H253" i="6"/>
  <c r="H252" i="6" s="1"/>
  <c r="H251" i="6" s="1"/>
  <c r="I253" i="6"/>
  <c r="I252" i="6" s="1"/>
  <c r="I251" i="6" s="1"/>
  <c r="K253" i="6"/>
  <c r="K252" i="6" s="1"/>
  <c r="K251" i="6" s="1"/>
  <c r="L253" i="6"/>
  <c r="L252" i="6" s="1"/>
  <c r="L251" i="6" s="1"/>
  <c r="N253" i="6"/>
  <c r="N252" i="6" s="1"/>
  <c r="O253" i="6"/>
  <c r="O252" i="6" s="1"/>
  <c r="F253" i="6"/>
  <c r="F252" i="6" s="1"/>
  <c r="F251" i="6" s="1"/>
  <c r="E250" i="6"/>
  <c r="E249" i="6"/>
  <c r="K250" i="6"/>
  <c r="L250" i="6"/>
  <c r="F250" i="6"/>
  <c r="G250" i="6"/>
  <c r="H250" i="6"/>
  <c r="I250" i="6"/>
  <c r="E86" i="6"/>
  <c r="E74" i="6"/>
  <c r="T268" i="6"/>
  <c r="T267" i="6" s="1"/>
  <c r="S268" i="6"/>
  <c r="S267" i="6" s="1"/>
  <c r="R268" i="6"/>
  <c r="R267" i="6" s="1"/>
  <c r="Q268" i="6"/>
  <c r="Q267" i="6" s="1"/>
  <c r="P268" i="6"/>
  <c r="P267" i="6" s="1"/>
  <c r="T264" i="6"/>
  <c r="T263" i="6" s="1"/>
  <c r="S264" i="6"/>
  <c r="S263" i="6" s="1"/>
  <c r="R264" i="6"/>
  <c r="R263" i="6" s="1"/>
  <c r="Q264" i="6"/>
  <c r="Q263" i="6" s="1"/>
  <c r="P264" i="6"/>
  <c r="P263" i="6" s="1"/>
  <c r="Q250" i="6"/>
  <c r="N71" i="1" s="1"/>
  <c r="N124" i="1" s="1"/>
  <c r="N190" i="1" s="1"/>
  <c r="R250" i="6"/>
  <c r="O71" i="1" s="1"/>
  <c r="O124" i="1" s="1"/>
  <c r="O190" i="1" s="1"/>
  <c r="S250" i="6"/>
  <c r="P71" i="1" s="1"/>
  <c r="P124" i="1" s="1"/>
  <c r="P190" i="1" s="1"/>
  <c r="T250" i="6"/>
  <c r="Q71" i="1" s="1"/>
  <c r="Q124" i="1" s="1"/>
  <c r="Q190" i="1" s="1"/>
  <c r="S249" i="6"/>
  <c r="T249" i="6"/>
  <c r="Q64" i="1" s="1"/>
  <c r="S248" i="6"/>
  <c r="S247" i="6" s="1"/>
  <c r="T248" i="6"/>
  <c r="T247" i="6" s="1"/>
  <c r="S246" i="6"/>
  <c r="P60" i="1" s="1"/>
  <c r="T246" i="6"/>
  <c r="Q60" i="1" s="1"/>
  <c r="P111" i="6"/>
  <c r="Q111" i="6"/>
  <c r="R111" i="6"/>
  <c r="R110" i="6" s="1"/>
  <c r="S111" i="6"/>
  <c r="S110" i="6" s="1"/>
  <c r="T111" i="6"/>
  <c r="T110" i="6" s="1"/>
  <c r="P108" i="6"/>
  <c r="Q108" i="6"/>
  <c r="R108" i="6"/>
  <c r="S108" i="6"/>
  <c r="T108" i="6"/>
  <c r="P106" i="6"/>
  <c r="Q106" i="6"/>
  <c r="R106" i="6"/>
  <c r="S106" i="6"/>
  <c r="T106" i="6"/>
  <c r="R102" i="6"/>
  <c r="R95" i="6"/>
  <c r="S95" i="6"/>
  <c r="T95" i="6"/>
  <c r="R97" i="6"/>
  <c r="S97" i="6"/>
  <c r="T97" i="6"/>
  <c r="R100" i="6"/>
  <c r="S100" i="6"/>
  <c r="T100" i="6"/>
  <c r="S102" i="6"/>
  <c r="T102" i="6"/>
  <c r="Q91" i="6"/>
  <c r="R91" i="6"/>
  <c r="S91" i="6"/>
  <c r="T91" i="6"/>
  <c r="Q90" i="6"/>
  <c r="R90" i="6"/>
  <c r="S90" i="6"/>
  <c r="T90" i="6"/>
  <c r="Q85" i="6"/>
  <c r="Q84" i="6" s="1"/>
  <c r="R85" i="6"/>
  <c r="R84" i="6" s="1"/>
  <c r="S85" i="6"/>
  <c r="S84" i="6" s="1"/>
  <c r="T85" i="6"/>
  <c r="T84" i="6" s="1"/>
  <c r="Q73" i="6"/>
  <c r="T73" i="6"/>
  <c r="T72" i="6" s="1"/>
  <c r="S73" i="6"/>
  <c r="S72" i="6" s="1"/>
  <c r="R73" i="6"/>
  <c r="R72" i="6" s="1"/>
  <c r="Q72" i="6"/>
  <c r="T81" i="6"/>
  <c r="S81" i="6"/>
  <c r="R81" i="6"/>
  <c r="Q81" i="6"/>
  <c r="T80" i="6"/>
  <c r="S80" i="6"/>
  <c r="R80" i="6"/>
  <c r="Q80" i="6"/>
  <c r="D79" i="6"/>
  <c r="S69" i="6"/>
  <c r="T69" i="6"/>
  <c r="S67" i="6"/>
  <c r="T67" i="6"/>
  <c r="S66" i="6"/>
  <c r="T66" i="6"/>
  <c r="S64" i="6"/>
  <c r="T64" i="6"/>
  <c r="S62" i="6"/>
  <c r="S61" i="6" s="1"/>
  <c r="T62" i="6"/>
  <c r="T61" i="6" s="1"/>
  <c r="T58" i="6"/>
  <c r="S58" i="6"/>
  <c r="T56" i="6"/>
  <c r="S56" i="6"/>
  <c r="T55" i="6"/>
  <c r="S55" i="6"/>
  <c r="T53" i="6"/>
  <c r="S53" i="6"/>
  <c r="T51" i="6"/>
  <c r="S51" i="6"/>
  <c r="T50" i="6"/>
  <c r="S50" i="6"/>
  <c r="T40" i="6"/>
  <c r="T47" i="6"/>
  <c r="S47" i="6"/>
  <c r="R47" i="6"/>
  <c r="Q47" i="6"/>
  <c r="T45" i="6"/>
  <c r="S45" i="6"/>
  <c r="R45" i="6"/>
  <c r="Q45" i="6"/>
  <c r="T44" i="6"/>
  <c r="Q98" i="1" s="1"/>
  <c r="S44" i="6"/>
  <c r="P98" i="1" s="1"/>
  <c r="R44" i="6"/>
  <c r="Q44" i="6"/>
  <c r="T42" i="6"/>
  <c r="T39" i="6" s="1"/>
  <c r="S42" i="6"/>
  <c r="R42" i="6"/>
  <c r="Q42" i="6"/>
  <c r="S40" i="6"/>
  <c r="R40" i="6"/>
  <c r="Q40" i="6"/>
  <c r="T36" i="6"/>
  <c r="S36" i="6"/>
  <c r="R36" i="6"/>
  <c r="Q36" i="6"/>
  <c r="T34" i="6"/>
  <c r="S34" i="6"/>
  <c r="R34" i="6"/>
  <c r="Q34" i="6"/>
  <c r="T33" i="6"/>
  <c r="S33" i="6"/>
  <c r="R33" i="6"/>
  <c r="Q33" i="6"/>
  <c r="T31" i="6"/>
  <c r="S31" i="6"/>
  <c r="R31" i="6"/>
  <c r="Q31" i="6"/>
  <c r="T29" i="6"/>
  <c r="S29" i="6"/>
  <c r="R29" i="6"/>
  <c r="Q29" i="6"/>
  <c r="T28" i="6"/>
  <c r="T11" i="6" s="1"/>
  <c r="S28" i="6"/>
  <c r="S11" i="6" s="1"/>
  <c r="R28" i="6"/>
  <c r="Q28" i="6"/>
  <c r="T260" i="6"/>
  <c r="T259" i="6" s="1"/>
  <c r="T245" i="6" s="1"/>
  <c r="S260" i="6"/>
  <c r="S259" i="6" s="1"/>
  <c r="S245" i="6" s="1"/>
  <c r="R261" i="6"/>
  <c r="R249" i="6" s="1"/>
  <c r="T14" i="6"/>
  <c r="Q33" i="1" l="1"/>
  <c r="Q136" i="1" s="1"/>
  <c r="T22" i="6"/>
  <c r="P33" i="1"/>
  <c r="P32" i="1" s="1"/>
  <c r="P31" i="1" s="1"/>
  <c r="S22" i="6"/>
  <c r="P19" i="1"/>
  <c r="P17" i="1" s="1"/>
  <c r="P16" i="1" s="1"/>
  <c r="P47" i="1" s="1"/>
  <c r="S14" i="6"/>
  <c r="R19" i="10"/>
  <c r="P59" i="1"/>
  <c r="P58" i="1" s="1"/>
  <c r="Q92" i="1"/>
  <c r="P64" i="1"/>
  <c r="P121" i="1" s="1"/>
  <c r="P183" i="1" s="1"/>
  <c r="Q59" i="1"/>
  <c r="P92" i="1"/>
  <c r="P123" i="1"/>
  <c r="P185" i="1" s="1"/>
  <c r="Q19" i="1"/>
  <c r="R248" i="6"/>
  <c r="R247" i="6" s="1"/>
  <c r="Q63" i="1"/>
  <c r="Q62" i="1" s="1"/>
  <c r="Q84" i="1" s="1"/>
  <c r="Q121" i="1"/>
  <c r="E20" i="6"/>
  <c r="R39" i="6"/>
  <c r="Q39" i="6"/>
  <c r="S39" i="6"/>
  <c r="Q19" i="10" s="1"/>
  <c r="M61" i="6"/>
  <c r="R99" i="6"/>
  <c r="P31" i="10" s="1"/>
  <c r="T105" i="6"/>
  <c r="R105" i="6"/>
  <c r="P105" i="6"/>
  <c r="S19" i="6"/>
  <c r="S25" i="6"/>
  <c r="S21" i="6" s="1"/>
  <c r="R20" i="10"/>
  <c r="T19" i="6"/>
  <c r="T13" i="6" s="1"/>
  <c r="T25" i="6"/>
  <c r="T21" i="6" s="1"/>
  <c r="Q20" i="10"/>
  <c r="T99" i="6"/>
  <c r="R31" i="10" s="1"/>
  <c r="R26" i="10" s="1"/>
  <c r="M55" i="6"/>
  <c r="M66" i="6"/>
  <c r="M50" i="6"/>
  <c r="K19" i="10" s="1"/>
  <c r="S244" i="6"/>
  <c r="T94" i="6"/>
  <c r="R94" i="6"/>
  <c r="P30" i="10" s="1"/>
  <c r="T244" i="6"/>
  <c r="S105" i="6"/>
  <c r="Q105" i="6"/>
  <c r="S99" i="6"/>
  <c r="Q31" i="10" s="1"/>
  <c r="Q26" i="10" s="1"/>
  <c r="S94" i="6"/>
  <c r="Q30" i="10" s="1"/>
  <c r="Q25" i="10" s="1"/>
  <c r="E85" i="5"/>
  <c r="E68" i="5" s="1"/>
  <c r="E66" i="5" s="1"/>
  <c r="I85" i="5"/>
  <c r="I68" i="5" s="1"/>
  <c r="I66" i="5" s="1"/>
  <c r="J85" i="5"/>
  <c r="J68" i="5" s="1"/>
  <c r="J66" i="5" s="1"/>
  <c r="N106" i="5"/>
  <c r="N68" i="5" s="1"/>
  <c r="N66" i="5" s="1"/>
  <c r="Q58" i="1" l="1"/>
  <c r="Q105" i="1" s="1"/>
  <c r="Q97" i="1"/>
  <c r="P97" i="1"/>
  <c r="P136" i="1"/>
  <c r="P198" i="1" s="1"/>
  <c r="P209" i="1" s="1"/>
  <c r="Q32" i="1"/>
  <c r="Q31" i="1" s="1"/>
  <c r="Q48" i="1" s="1"/>
  <c r="S12" i="6"/>
  <c r="P14" i="1" s="1"/>
  <c r="P89" i="1" s="1"/>
  <c r="T12" i="6"/>
  <c r="Q14" i="1" s="1"/>
  <c r="Q41" i="10"/>
  <c r="R42" i="10"/>
  <c r="Q42" i="10"/>
  <c r="Q13" i="1"/>
  <c r="R30" i="10"/>
  <c r="R25" i="10" s="1"/>
  <c r="R41" i="10" s="1"/>
  <c r="P48" i="1"/>
  <c r="Q198" i="1"/>
  <c r="Q209" i="1" s="1"/>
  <c r="Q147" i="1"/>
  <c r="Q183" i="1"/>
  <c r="Q123" i="1"/>
  <c r="Q185" i="1" s="1"/>
  <c r="Q17" i="1"/>
  <c r="Q16" i="1" s="1"/>
  <c r="Q47" i="1" s="1"/>
  <c r="Q120" i="1" s="1"/>
  <c r="S13" i="6"/>
  <c r="P13" i="1"/>
  <c r="D98" i="9"/>
  <c r="D95" i="9" s="1"/>
  <c r="Q89" i="1" l="1"/>
  <c r="P147" i="1"/>
  <c r="Q194" i="1"/>
  <c r="Q182" i="1"/>
  <c r="Q195" i="1"/>
  <c r="Q91" i="1"/>
  <c r="Q96" i="1"/>
  <c r="P90" i="1"/>
  <c r="P148" i="1" s="1"/>
  <c r="P134" i="1"/>
  <c r="Q88" i="1"/>
  <c r="Q12" i="1"/>
  <c r="P88" i="1"/>
  <c r="P87" i="1" s="1"/>
  <c r="P12" i="1"/>
  <c r="Q90" i="1"/>
  <c r="Q148" i="1" s="1"/>
  <c r="Q134" i="1"/>
  <c r="P91" i="1"/>
  <c r="P93" i="1" s="1"/>
  <c r="P96" i="1"/>
  <c r="Q132" i="1"/>
  <c r="T10" i="6"/>
  <c r="S10" i="6"/>
  <c r="Q44" i="10"/>
  <c r="Q47" i="10" s="1"/>
  <c r="R44" i="10"/>
  <c r="R47" i="10" s="1"/>
  <c r="Q261" i="6"/>
  <c r="P261" i="6"/>
  <c r="X261" i="6" s="1"/>
  <c r="O261" i="6"/>
  <c r="N261" i="6"/>
  <c r="Q87" i="1" l="1"/>
  <c r="Q133" i="1" s="1"/>
  <c r="P106" i="1"/>
  <c r="Q106" i="1"/>
  <c r="P103" i="1"/>
  <c r="P95" i="1"/>
  <c r="Q196" i="1"/>
  <c r="Q211" i="1"/>
  <c r="Q212" i="1" s="1"/>
  <c r="P211" i="1"/>
  <c r="P212" i="1" s="1"/>
  <c r="P196" i="1"/>
  <c r="Q103" i="1"/>
  <c r="Q95" i="1"/>
  <c r="Q93" i="1"/>
  <c r="X260" i="6"/>
  <c r="X259" i="6" s="1"/>
  <c r="N118" i="8"/>
  <c r="N32" i="8" s="1"/>
  <c r="K43" i="1" s="1"/>
  <c r="N115" i="8"/>
  <c r="N112" i="8"/>
  <c r="N21" i="8" s="1"/>
  <c r="K29" i="1" s="1"/>
  <c r="K129" i="1" s="1"/>
  <c r="K191" i="1" s="1"/>
  <c r="N109" i="8"/>
  <c r="N75" i="5"/>
  <c r="K141" i="1" l="1"/>
  <c r="K203" i="1" s="1"/>
  <c r="R45" i="10"/>
  <c r="R48" i="10" s="1"/>
  <c r="Q45" i="10"/>
  <c r="Q48" i="10" s="1"/>
  <c r="R533" i="2"/>
  <c r="X533" i="2" s="1"/>
  <c r="R517" i="2"/>
  <c r="R525" i="2"/>
  <c r="R524" i="2" s="1"/>
  <c r="Q524" i="2"/>
  <c r="P525" i="2"/>
  <c r="D464" i="2" l="1"/>
  <c r="X464" i="2"/>
  <c r="X463" i="2" s="1"/>
  <c r="X462" i="2" s="1"/>
  <c r="X532" i="2"/>
  <c r="X531" i="2" s="1"/>
  <c r="X525" i="2"/>
  <c r="X524" i="2" s="1"/>
  <c r="X523" i="2" s="1"/>
  <c r="R516" i="2"/>
  <c r="X517" i="2"/>
  <c r="X516" i="2" s="1"/>
  <c r="X515" i="2" s="1"/>
  <c r="X431" i="2" s="1"/>
  <c r="P524" i="2"/>
  <c r="P435" i="2"/>
  <c r="Q435" i="2"/>
  <c r="R435" i="2"/>
  <c r="O64" i="1" s="1"/>
  <c r="O37" i="9"/>
  <c r="O36" i="9" s="1"/>
  <c r="X432" i="2" l="1"/>
  <c r="X430" i="2" s="1"/>
  <c r="X435" i="2"/>
  <c r="D88" i="6" l="1"/>
  <c r="D77" i="6" l="1"/>
  <c r="D89" i="6"/>
  <c r="N37" i="6"/>
  <c r="N35" i="6"/>
  <c r="N32" i="6"/>
  <c r="N30" i="6"/>
  <c r="R25" i="6" l="1"/>
  <c r="R22" i="6"/>
  <c r="Q22" i="6"/>
  <c r="P22" i="6"/>
  <c r="O22" i="6"/>
  <c r="N23" i="6"/>
  <c r="N22" i="6" s="1"/>
  <c r="R14" i="6"/>
  <c r="Q14" i="6"/>
  <c r="P14" i="6"/>
  <c r="N16" i="6"/>
  <c r="Q69" i="6"/>
  <c r="R69" i="6"/>
  <c r="Q64" i="6"/>
  <c r="R64" i="6"/>
  <c r="Q67" i="6"/>
  <c r="Q66" i="6" s="1"/>
  <c r="R67" i="6"/>
  <c r="R66" i="6" s="1"/>
  <c r="Q62" i="6"/>
  <c r="Q61" i="6" s="1"/>
  <c r="Q12" i="6" s="1"/>
  <c r="R62" i="6"/>
  <c r="R61" i="6" s="1"/>
  <c r="R12" i="6" s="1"/>
  <c r="P69" i="6"/>
  <c r="O69" i="6"/>
  <c r="N69" i="6"/>
  <c r="L69" i="6"/>
  <c r="K69" i="6"/>
  <c r="J69" i="6"/>
  <c r="I69" i="6"/>
  <c r="H69" i="6"/>
  <c r="G69" i="6"/>
  <c r="F69" i="6"/>
  <c r="E69" i="6"/>
  <c r="P67" i="6"/>
  <c r="O67" i="6"/>
  <c r="N67" i="6"/>
  <c r="L67" i="6"/>
  <c r="K67" i="6"/>
  <c r="J67" i="6"/>
  <c r="I67" i="6"/>
  <c r="H67" i="6"/>
  <c r="G67" i="6"/>
  <c r="F67" i="6"/>
  <c r="E67" i="6"/>
  <c r="P64" i="6"/>
  <c r="O64" i="6"/>
  <c r="N64" i="6"/>
  <c r="L64" i="6"/>
  <c r="K64" i="6"/>
  <c r="J64" i="6"/>
  <c r="I64" i="6"/>
  <c r="H64" i="6"/>
  <c r="G64" i="6"/>
  <c r="F64" i="6"/>
  <c r="E64" i="6"/>
  <c r="P62" i="6"/>
  <c r="O62" i="6"/>
  <c r="N62" i="6"/>
  <c r="L62" i="6"/>
  <c r="K62" i="6"/>
  <c r="J62" i="6"/>
  <c r="I62" i="6"/>
  <c r="H62" i="6"/>
  <c r="G62" i="6"/>
  <c r="F62" i="6"/>
  <c r="E62" i="6"/>
  <c r="R19" i="6"/>
  <c r="E53" i="6"/>
  <c r="F53" i="6"/>
  <c r="G53" i="6"/>
  <c r="D58" i="6"/>
  <c r="D56" i="6"/>
  <c r="Q58" i="6"/>
  <c r="R58" i="6"/>
  <c r="Q56" i="6"/>
  <c r="Q55" i="6" s="1"/>
  <c r="R56" i="6"/>
  <c r="R55" i="6" s="1"/>
  <c r="D51" i="6"/>
  <c r="D53" i="6"/>
  <c r="Q53" i="6"/>
  <c r="R53" i="6"/>
  <c r="Q51" i="6"/>
  <c r="Q50" i="6" s="1"/>
  <c r="R51" i="6"/>
  <c r="P20" i="10" l="1"/>
  <c r="O97" i="1"/>
  <c r="Q11" i="6"/>
  <c r="O19" i="10"/>
  <c r="O20" i="10"/>
  <c r="N97" i="1"/>
  <c r="R21" i="6"/>
  <c r="X16" i="6"/>
  <c r="X14" i="6" s="1"/>
  <c r="O61" i="6"/>
  <c r="N61" i="6"/>
  <c r="P61" i="6"/>
  <c r="G66" i="6"/>
  <c r="P66" i="6"/>
  <c r="X19" i="6"/>
  <c r="E61" i="6"/>
  <c r="G61" i="6"/>
  <c r="I61" i="6"/>
  <c r="F61" i="6"/>
  <c r="F66" i="6"/>
  <c r="J66" i="6"/>
  <c r="L66" i="6"/>
  <c r="O66" i="6"/>
  <c r="H66" i="6"/>
  <c r="H61" i="6"/>
  <c r="K66" i="6"/>
  <c r="I66" i="6"/>
  <c r="D55" i="6"/>
  <c r="D50" i="6"/>
  <c r="R13" i="6"/>
  <c r="K61" i="6"/>
  <c r="J61" i="6"/>
  <c r="L61" i="6"/>
  <c r="N66" i="6"/>
  <c r="D67" i="6"/>
  <c r="E66" i="6"/>
  <c r="D64" i="6"/>
  <c r="D61" i="6" s="1"/>
  <c r="D69" i="6"/>
  <c r="R50" i="6"/>
  <c r="P58" i="6"/>
  <c r="O58" i="6"/>
  <c r="N58" i="6"/>
  <c r="L58" i="6"/>
  <c r="K58" i="6"/>
  <c r="J58" i="6"/>
  <c r="I58" i="6"/>
  <c r="H58" i="6"/>
  <c r="G58" i="6"/>
  <c r="F58" i="6"/>
  <c r="E58" i="6"/>
  <c r="P56" i="6"/>
  <c r="O56" i="6"/>
  <c r="N56" i="6"/>
  <c r="L56" i="6"/>
  <c r="K56" i="6"/>
  <c r="J56" i="6"/>
  <c r="I56" i="6"/>
  <c r="H56" i="6"/>
  <c r="G56" i="6"/>
  <c r="F56" i="6"/>
  <c r="H53" i="6"/>
  <c r="P53" i="6"/>
  <c r="O53" i="6"/>
  <c r="N53" i="6"/>
  <c r="L53" i="6"/>
  <c r="K53" i="6"/>
  <c r="J53" i="6"/>
  <c r="I53" i="6"/>
  <c r="P51" i="6"/>
  <c r="O51" i="6"/>
  <c r="N51" i="6"/>
  <c r="L51" i="6"/>
  <c r="K51" i="6"/>
  <c r="J51" i="6"/>
  <c r="I51" i="6"/>
  <c r="H51" i="6"/>
  <c r="G51" i="6"/>
  <c r="G50" i="6" s="1"/>
  <c r="G11" i="6" s="1"/>
  <c r="F51" i="6"/>
  <c r="F50" i="6" s="1"/>
  <c r="F11" i="6" s="1"/>
  <c r="E51" i="6"/>
  <c r="E50" i="6" s="1"/>
  <c r="X13" i="6" l="1"/>
  <c r="Z10" i="6" s="1"/>
  <c r="R11" i="6"/>
  <c r="P19" i="10"/>
  <c r="R10" i="6"/>
  <c r="Z16" i="6" s="1"/>
  <c r="F55" i="6"/>
  <c r="J55" i="6"/>
  <c r="L55" i="6"/>
  <c r="O55" i="6"/>
  <c r="I55" i="6"/>
  <c r="P55" i="6"/>
  <c r="G55" i="6"/>
  <c r="K55" i="6"/>
  <c r="N55" i="6"/>
  <c r="P50" i="6"/>
  <c r="H55" i="6"/>
  <c r="I50" i="6"/>
  <c r="H50" i="6"/>
  <c r="H11" i="6" s="1"/>
  <c r="D66" i="6"/>
  <c r="K50" i="6"/>
  <c r="L50" i="6"/>
  <c r="N50" i="6"/>
  <c r="O50" i="6"/>
  <c r="J50" i="6"/>
  <c r="E56" i="6"/>
  <c r="E55" i="6" l="1"/>
  <c r="N51" i="9" l="1"/>
  <c r="N54" i="9"/>
  <c r="O13" i="9" l="1"/>
  <c r="N42" i="9"/>
  <c r="N13" i="9" s="1"/>
  <c r="O15" i="9"/>
  <c r="N44" i="9"/>
  <c r="N47" i="9"/>
  <c r="O12" i="9" l="1"/>
  <c r="N84" i="4"/>
  <c r="O45" i="4" l="1"/>
  <c r="O41" i="4"/>
  <c r="O48" i="4"/>
  <c r="O50" i="4"/>
  <c r="O47" i="4" l="1"/>
  <c r="O40" i="4"/>
  <c r="Q77" i="8" l="1"/>
  <c r="Q75" i="8"/>
  <c r="Q74" i="8" s="1"/>
  <c r="O78" i="8"/>
  <c r="L23" i="10" l="1"/>
  <c r="N124" i="3"/>
  <c r="N119" i="3"/>
  <c r="N116" i="3"/>
  <c r="N86" i="3"/>
  <c r="N83" i="3"/>
  <c r="N81" i="3"/>
  <c r="N80" i="3"/>
  <c r="O19" i="3"/>
  <c r="O18" i="3" s="1"/>
  <c r="O14" i="3"/>
  <c r="N74" i="3"/>
  <c r="N71" i="3"/>
  <c r="N69" i="3"/>
  <c r="N68" i="3"/>
  <c r="N25" i="3"/>
  <c r="N14" i="3" l="1"/>
  <c r="N19" i="3"/>
  <c r="N18" i="3" s="1"/>
  <c r="O12" i="3"/>
  <c r="X15" i="3"/>
  <c r="R9" i="3"/>
  <c r="R8" i="3" s="1"/>
  <c r="W23" i="10"/>
  <c r="L24" i="10"/>
  <c r="O46" i="5"/>
  <c r="O17" i="5" s="1"/>
  <c r="N46" i="5"/>
  <c r="N17" i="5" s="1"/>
  <c r="O106" i="5"/>
  <c r="O68" i="5" s="1"/>
  <c r="O66" i="5" s="1"/>
  <c r="N12" i="3" l="1"/>
  <c r="M46" i="5"/>
  <c r="V24" i="10"/>
  <c r="V23" i="10"/>
  <c r="O298" i="2"/>
  <c r="J21" i="12"/>
  <c r="J20" i="12"/>
  <c r="O70" i="2"/>
  <c r="J13" i="12"/>
  <c r="L161" i="2"/>
  <c r="J12" i="12"/>
  <c r="L159" i="2"/>
  <c r="N117" i="2"/>
  <c r="N115" i="2"/>
  <c r="M115" i="2" s="1"/>
  <c r="D115" i="2" s="1"/>
  <c r="N172" i="2"/>
  <c r="J25" i="12" s="1"/>
  <c r="N170" i="2"/>
  <c r="J24" i="12" s="1"/>
  <c r="N84" i="2"/>
  <c r="J29" i="12"/>
  <c r="J28" i="12"/>
  <c r="D46" i="5" l="1"/>
  <c r="M45" i="5"/>
  <c r="M44" i="5" s="1"/>
  <c r="K28" i="12"/>
  <c r="H28" i="12" s="1"/>
  <c r="K29" i="12"/>
  <c r="H29" i="12" s="1"/>
  <c r="N103" i="8"/>
  <c r="N97" i="8"/>
  <c r="N101" i="8"/>
  <c r="N26" i="8" s="1"/>
  <c r="K35" i="1" s="1"/>
  <c r="N95" i="8"/>
  <c r="N16" i="8" s="1"/>
  <c r="K20" i="1" s="1"/>
  <c r="N91" i="8"/>
  <c r="M91" i="8" s="1"/>
  <c r="N89" i="8"/>
  <c r="N86" i="8"/>
  <c r="N84" i="8"/>
  <c r="N76" i="8"/>
  <c r="X73" i="8"/>
  <c r="N73" i="8"/>
  <c r="X71" i="8"/>
  <c r="N71" i="8"/>
  <c r="X17" i="8" l="1"/>
  <c r="X13" i="8" s="1"/>
  <c r="X70" i="8"/>
  <c r="D220" i="8"/>
  <c r="M218" i="8"/>
  <c r="M217" i="8" s="1"/>
  <c r="D224" i="8"/>
  <c r="M222" i="8"/>
  <c r="M221" i="8" s="1"/>
  <c r="N96" i="8"/>
  <c r="N20" i="8"/>
  <c r="X72" i="8"/>
  <c r="X22" i="8"/>
  <c r="X18" i="8" s="1"/>
  <c r="D91" i="8"/>
  <c r="M90" i="8"/>
  <c r="N102" i="8"/>
  <c r="N31" i="8"/>
  <c r="N54" i="7"/>
  <c r="N52" i="7"/>
  <c r="N49" i="7"/>
  <c r="O46" i="7"/>
  <c r="N46" i="7"/>
  <c r="N47" i="7"/>
  <c r="M47" i="7" s="1"/>
  <c r="D47" i="7" l="1"/>
  <c r="X69" i="8"/>
  <c r="X12" i="8"/>
  <c r="R57" i="7"/>
  <c r="Q57" i="7"/>
  <c r="P57" i="7"/>
  <c r="J57" i="7"/>
  <c r="I57" i="7"/>
  <c r="H57" i="7"/>
  <c r="G57" i="7"/>
  <c r="F57" i="7"/>
  <c r="E57" i="7"/>
  <c r="O66" i="7"/>
  <c r="N66" i="7"/>
  <c r="M66" i="7" s="1"/>
  <c r="N64" i="7"/>
  <c r="O61" i="7"/>
  <c r="N61" i="7"/>
  <c r="M61" i="7" s="1"/>
  <c r="O58" i="7"/>
  <c r="O57" i="7" s="1"/>
  <c r="N58" i="7"/>
  <c r="N57" i="7" s="1"/>
  <c r="D66" i="7" l="1"/>
  <c r="M65" i="7"/>
  <c r="D61" i="7"/>
  <c r="M60" i="7"/>
  <c r="O107" i="6"/>
  <c r="O14" i="6" s="1"/>
  <c r="N107" i="6"/>
  <c r="N15" i="6" l="1"/>
  <c r="N14" i="6" s="1"/>
  <c r="O112" i="6"/>
  <c r="N112" i="6"/>
  <c r="N26" i="6" s="1"/>
  <c r="O109" i="6"/>
  <c r="N109" i="6"/>
  <c r="O42" i="13" l="1"/>
  <c r="O40" i="13"/>
  <c r="O39" i="13"/>
  <c r="N43" i="13"/>
  <c r="M43" i="13" s="1"/>
  <c r="O37" i="13"/>
  <c r="N37" i="13"/>
  <c r="M37" i="13" s="1"/>
  <c r="O34" i="13"/>
  <c r="N34" i="13"/>
  <c r="M34" i="13" s="1"/>
  <c r="O32" i="13"/>
  <c r="N32" i="13"/>
  <c r="M32" i="13" s="1"/>
  <c r="D34" i="13" l="1"/>
  <c r="M33" i="13"/>
  <c r="D43" i="13"/>
  <c r="M42" i="13"/>
  <c r="M39" i="13" s="1"/>
  <c r="M11" i="13" s="1"/>
  <c r="D32" i="13"/>
  <c r="M31" i="13"/>
  <c r="M30" i="13" s="1"/>
  <c r="D37" i="13"/>
  <c r="M36" i="13"/>
  <c r="M35" i="13" s="1"/>
  <c r="D16" i="4"/>
  <c r="O89" i="4"/>
  <c r="P89" i="4"/>
  <c r="Q89" i="4"/>
  <c r="R89" i="4"/>
  <c r="N89" i="4"/>
  <c r="D89" i="4" l="1"/>
  <c r="O42" i="7"/>
  <c r="N42" i="7"/>
  <c r="N40" i="7"/>
  <c r="O37" i="7"/>
  <c r="N37" i="7"/>
  <c r="O35" i="7"/>
  <c r="N35" i="7"/>
  <c r="O34" i="7"/>
  <c r="L66" i="1" s="1"/>
  <c r="N34" i="7"/>
  <c r="K66" i="1" s="1"/>
  <c r="O63" i="4" l="1"/>
  <c r="N63" i="4"/>
  <c r="H88" i="13" l="1"/>
  <c r="L45" i="13"/>
  <c r="K45" i="13"/>
  <c r="K44" i="13" s="1"/>
  <c r="J45" i="13"/>
  <c r="I45" i="13"/>
  <c r="H45" i="13"/>
  <c r="G45" i="13"/>
  <c r="F45" i="13"/>
  <c r="E45" i="13"/>
  <c r="D45" i="13"/>
  <c r="D44" i="13" s="1"/>
  <c r="L44" i="13"/>
  <c r="J44" i="13"/>
  <c r="I44" i="13"/>
  <c r="H44" i="13"/>
  <c r="G44" i="13"/>
  <c r="F44" i="13"/>
  <c r="E44" i="13"/>
  <c r="N42" i="13"/>
  <c r="L42" i="13"/>
  <c r="K42" i="13"/>
  <c r="J42" i="13"/>
  <c r="I42" i="13"/>
  <c r="H42" i="13"/>
  <c r="G42" i="13"/>
  <c r="F42" i="13"/>
  <c r="E42" i="13"/>
  <c r="D42" i="13"/>
  <c r="D41" i="13"/>
  <c r="N40" i="13"/>
  <c r="L40" i="13"/>
  <c r="K40" i="13"/>
  <c r="J40" i="13"/>
  <c r="I40" i="13"/>
  <c r="H40" i="13"/>
  <c r="G40" i="13"/>
  <c r="F40" i="13"/>
  <c r="E40" i="13"/>
  <c r="D40" i="13"/>
  <c r="N39" i="13"/>
  <c r="L39" i="13"/>
  <c r="K39" i="13"/>
  <c r="J39" i="13"/>
  <c r="I39" i="13"/>
  <c r="H39" i="13"/>
  <c r="G39" i="13"/>
  <c r="F39" i="13"/>
  <c r="E39" i="13"/>
  <c r="D36" i="13"/>
  <c r="D35" i="13" s="1"/>
  <c r="O36" i="13"/>
  <c r="N36" i="13"/>
  <c r="N35" i="13" s="1"/>
  <c r="L36" i="13"/>
  <c r="K36" i="13"/>
  <c r="K35" i="13" s="1"/>
  <c r="J36" i="13"/>
  <c r="I36" i="13"/>
  <c r="I35" i="13" s="1"/>
  <c r="H36" i="13"/>
  <c r="G36" i="13"/>
  <c r="G35" i="13" s="1"/>
  <c r="F36" i="13"/>
  <c r="E36" i="13"/>
  <c r="E35" i="13" s="1"/>
  <c r="O35" i="13"/>
  <c r="L35" i="13"/>
  <c r="J35" i="13"/>
  <c r="H35" i="13"/>
  <c r="F35" i="13"/>
  <c r="O33" i="13"/>
  <c r="N33" i="13"/>
  <c r="L33" i="13"/>
  <c r="K33" i="13"/>
  <c r="J33" i="13"/>
  <c r="I33" i="13"/>
  <c r="H33" i="13"/>
  <c r="G33" i="13"/>
  <c r="F33" i="13"/>
  <c r="E33" i="13"/>
  <c r="D33" i="13"/>
  <c r="O31" i="13"/>
  <c r="O30" i="13" s="1"/>
  <c r="O10" i="13" s="1"/>
  <c r="N31" i="13"/>
  <c r="L31" i="13"/>
  <c r="K31" i="13"/>
  <c r="J31" i="13"/>
  <c r="I31" i="13"/>
  <c r="H31" i="13"/>
  <c r="G31" i="13"/>
  <c r="F31" i="13"/>
  <c r="E31" i="13"/>
  <c r="D31" i="13"/>
  <c r="N30" i="13"/>
  <c r="L30" i="13"/>
  <c r="K30" i="13"/>
  <c r="J30" i="13"/>
  <c r="I30" i="13"/>
  <c r="H30" i="13"/>
  <c r="G30" i="13"/>
  <c r="F30" i="13"/>
  <c r="E30" i="13"/>
  <c r="O27" i="13"/>
  <c r="O26" i="13" s="1"/>
  <c r="M33" i="10" s="1"/>
  <c r="N27" i="13"/>
  <c r="N26" i="13" s="1"/>
  <c r="L33" i="10" s="1"/>
  <c r="L27" i="13"/>
  <c r="L26" i="13" s="1"/>
  <c r="J33" i="10" s="1"/>
  <c r="K27" i="13"/>
  <c r="K26" i="13" s="1"/>
  <c r="I33" i="10" s="1"/>
  <c r="J27" i="13"/>
  <c r="J26" i="13" s="1"/>
  <c r="H33" i="10" s="1"/>
  <c r="I27" i="13"/>
  <c r="H27" i="13"/>
  <c r="H26" i="13" s="1"/>
  <c r="G27" i="13"/>
  <c r="G26" i="13" s="1"/>
  <c r="F27" i="13"/>
  <c r="F26" i="13" s="1"/>
  <c r="E27" i="13"/>
  <c r="I26" i="13"/>
  <c r="G33" i="10" s="1"/>
  <c r="E26" i="13"/>
  <c r="C33" i="10" s="1"/>
  <c r="K24" i="13"/>
  <c r="N24" i="13"/>
  <c r="L24" i="13"/>
  <c r="J24" i="13"/>
  <c r="I24" i="13"/>
  <c r="H24" i="13"/>
  <c r="G24" i="13"/>
  <c r="F24" i="13"/>
  <c r="E24" i="13"/>
  <c r="L22" i="13"/>
  <c r="N22" i="13"/>
  <c r="K22" i="13"/>
  <c r="J22" i="13"/>
  <c r="I22" i="13"/>
  <c r="H22" i="13"/>
  <c r="G22" i="13"/>
  <c r="F22" i="13"/>
  <c r="E22" i="13"/>
  <c r="E21" i="13" s="1"/>
  <c r="H21" i="13"/>
  <c r="F32" i="10" s="1"/>
  <c r="F21" i="13"/>
  <c r="D32" i="10" s="1"/>
  <c r="O19" i="13"/>
  <c r="O18" i="13" s="1"/>
  <c r="O17" i="13" s="1"/>
  <c r="N19" i="13"/>
  <c r="L19" i="13"/>
  <c r="L18" i="13" s="1"/>
  <c r="L17" i="13" s="1"/>
  <c r="K19" i="13"/>
  <c r="J19" i="13"/>
  <c r="J18" i="13" s="1"/>
  <c r="J17" i="13" s="1"/>
  <c r="I19" i="13"/>
  <c r="H19" i="13"/>
  <c r="H18" i="13" s="1"/>
  <c r="H17" i="13" s="1"/>
  <c r="G19" i="13"/>
  <c r="F19" i="13"/>
  <c r="F18" i="13" s="1"/>
  <c r="F17" i="13" s="1"/>
  <c r="E19" i="13"/>
  <c r="K18" i="13"/>
  <c r="K17" i="13" s="1"/>
  <c r="I18" i="13"/>
  <c r="I17" i="13" s="1"/>
  <c r="G18" i="13"/>
  <c r="G17" i="13" s="1"/>
  <c r="E18" i="13"/>
  <c r="E17" i="13" s="1"/>
  <c r="O16" i="13"/>
  <c r="N16" i="13"/>
  <c r="L16" i="13"/>
  <c r="K16" i="13"/>
  <c r="J16" i="13"/>
  <c r="J15" i="13" s="1"/>
  <c r="I16" i="13"/>
  <c r="H16" i="13"/>
  <c r="H15" i="13" s="1"/>
  <c r="G16" i="13"/>
  <c r="F16" i="13"/>
  <c r="F15" i="13" s="1"/>
  <c r="E16" i="13"/>
  <c r="L15" i="13"/>
  <c r="K15" i="13"/>
  <c r="I15" i="13"/>
  <c r="G15" i="13"/>
  <c r="E15" i="13"/>
  <c r="O14" i="13"/>
  <c r="N14" i="13"/>
  <c r="N13" i="13" s="1"/>
  <c r="L14" i="13"/>
  <c r="L13" i="13" s="1"/>
  <c r="K14" i="13"/>
  <c r="J14" i="13"/>
  <c r="J13" i="13" s="1"/>
  <c r="I14" i="13"/>
  <c r="I13" i="13" s="1"/>
  <c r="I12" i="13" s="1"/>
  <c r="H14" i="13"/>
  <c r="H13" i="13" s="1"/>
  <c r="H12" i="13" s="1"/>
  <c r="G14" i="13"/>
  <c r="F14" i="13"/>
  <c r="F13" i="13" s="1"/>
  <c r="E14" i="13"/>
  <c r="E13" i="13" s="1"/>
  <c r="E12" i="13" s="1"/>
  <c r="O13" i="13"/>
  <c r="K13" i="13"/>
  <c r="K12" i="13" s="1"/>
  <c r="G13" i="13"/>
  <c r="G12" i="13" s="1"/>
  <c r="Q11" i="13"/>
  <c r="P11" i="13"/>
  <c r="O11" i="13"/>
  <c r="N11" i="13"/>
  <c r="L11" i="13"/>
  <c r="K11" i="13"/>
  <c r="J11" i="13"/>
  <c r="I11" i="13"/>
  <c r="H11" i="13"/>
  <c r="G11" i="13"/>
  <c r="F11" i="13"/>
  <c r="E11" i="13"/>
  <c r="Q10" i="13"/>
  <c r="Q9" i="13" s="1"/>
  <c r="P10" i="13"/>
  <c r="P9" i="13" s="1"/>
  <c r="H10" i="13"/>
  <c r="F10" i="13"/>
  <c r="F9" i="13" l="1"/>
  <c r="G21" i="13"/>
  <c r="F12" i="13"/>
  <c r="I21" i="13"/>
  <c r="J21" i="13"/>
  <c r="H32" i="10" s="1"/>
  <c r="J12" i="13"/>
  <c r="O15" i="13"/>
  <c r="L12" i="13"/>
  <c r="L21" i="13"/>
  <c r="J32" i="10" s="1"/>
  <c r="E10" i="13"/>
  <c r="E9" i="13" s="1"/>
  <c r="C32" i="10"/>
  <c r="G10" i="13"/>
  <c r="G9" i="13" s="1"/>
  <c r="E32" i="10"/>
  <c r="I10" i="13"/>
  <c r="I9" i="13" s="1"/>
  <c r="G32" i="10"/>
  <c r="K21" i="13"/>
  <c r="H9" i="13"/>
  <c r="X10" i="13"/>
  <c r="X11" i="13"/>
  <c r="N21" i="13"/>
  <c r="L32" i="10" s="1"/>
  <c r="O12" i="13"/>
  <c r="D22" i="13"/>
  <c r="D24" i="13"/>
  <c r="D27" i="13"/>
  <c r="D26" i="13" s="1"/>
  <c r="D14" i="13"/>
  <c r="D13" i="13" s="1"/>
  <c r="M27" i="13"/>
  <c r="M26" i="13" s="1"/>
  <c r="K33" i="10" s="1"/>
  <c r="V33" i="10" s="1"/>
  <c r="M19" i="13"/>
  <c r="D39" i="13"/>
  <c r="D11" i="13" s="1"/>
  <c r="N18" i="13"/>
  <c r="N17" i="13" s="1"/>
  <c r="D19" i="13"/>
  <c r="N15" i="13"/>
  <c r="N12" i="13" s="1"/>
  <c r="D30" i="13"/>
  <c r="O9" i="13"/>
  <c r="D16" i="13"/>
  <c r="D15" i="13" s="1"/>
  <c r="F9" i="12"/>
  <c r="P25" i="10"/>
  <c r="F33" i="10"/>
  <c r="E33" i="10"/>
  <c r="D33" i="10"/>
  <c r="O29" i="10"/>
  <c r="O28" i="10"/>
  <c r="P26" i="10"/>
  <c r="O16" i="10"/>
  <c r="N16" i="10"/>
  <c r="O15" i="10"/>
  <c r="N15" i="10"/>
  <c r="W15" i="10" s="1"/>
  <c r="E15" i="10"/>
  <c r="D15" i="10"/>
  <c r="L122" i="9"/>
  <c r="J122" i="9"/>
  <c r="Q126" i="9"/>
  <c r="Q124" i="9" s="1"/>
  <c r="P126" i="9"/>
  <c r="P124" i="9" s="1"/>
  <c r="O126" i="9"/>
  <c r="N123" i="9"/>
  <c r="L126" i="9"/>
  <c r="L124" i="9" s="1"/>
  <c r="L123" i="9" s="1"/>
  <c r="K126" i="9"/>
  <c r="K124" i="9" s="1"/>
  <c r="K123" i="9" s="1"/>
  <c r="J126" i="9"/>
  <c r="I126" i="9"/>
  <c r="I124" i="9" s="1"/>
  <c r="I123" i="9" s="1"/>
  <c r="H126" i="9"/>
  <c r="H124" i="9" s="1"/>
  <c r="H123" i="9" s="1"/>
  <c r="G126" i="9"/>
  <c r="G124" i="9" s="1"/>
  <c r="G123" i="9" s="1"/>
  <c r="F126" i="9"/>
  <c r="E126" i="9"/>
  <c r="E124" i="9" s="1"/>
  <c r="E123" i="9" s="1"/>
  <c r="Q123" i="9"/>
  <c r="J124" i="9"/>
  <c r="J123" i="9" s="1"/>
  <c r="F124" i="9"/>
  <c r="F123" i="9" s="1"/>
  <c r="P123" i="9"/>
  <c r="Q122" i="9"/>
  <c r="X122" i="9" s="1"/>
  <c r="X120" i="9" s="1"/>
  <c r="K122" i="9"/>
  <c r="I122" i="9"/>
  <c r="E122" i="9"/>
  <c r="N120" i="9"/>
  <c r="L121" i="9"/>
  <c r="K121" i="9"/>
  <c r="J121" i="9"/>
  <c r="I121" i="9"/>
  <c r="G120" i="9"/>
  <c r="E121" i="9"/>
  <c r="P120" i="9"/>
  <c r="Q108" i="9"/>
  <c r="Q107" i="9" s="1"/>
  <c r="P108" i="9"/>
  <c r="O108" i="9"/>
  <c r="O107" i="9" s="1"/>
  <c r="N108" i="9"/>
  <c r="N107" i="9" s="1"/>
  <c r="L108" i="9"/>
  <c r="L107" i="9" s="1"/>
  <c r="K108" i="9"/>
  <c r="J108" i="9"/>
  <c r="J107" i="9" s="1"/>
  <c r="I108" i="9"/>
  <c r="I107" i="9" s="1"/>
  <c r="H108" i="9"/>
  <c r="H107" i="9" s="1"/>
  <c r="G108" i="9"/>
  <c r="F108" i="9"/>
  <c r="F107" i="9" s="1"/>
  <c r="E108" i="9"/>
  <c r="E107" i="9" s="1"/>
  <c r="D108" i="9"/>
  <c r="D107" i="9" s="1"/>
  <c r="P107" i="9"/>
  <c r="K107" i="9"/>
  <c r="G107" i="9"/>
  <c r="Q105" i="9"/>
  <c r="Q104" i="9" s="1"/>
  <c r="P105" i="9"/>
  <c r="P104" i="9" s="1"/>
  <c r="O105" i="9"/>
  <c r="N105" i="9"/>
  <c r="N104" i="9" s="1"/>
  <c r="L105" i="9"/>
  <c r="L104" i="9" s="1"/>
  <c r="K105" i="9"/>
  <c r="K104" i="9" s="1"/>
  <c r="J105" i="9"/>
  <c r="I105" i="9"/>
  <c r="I104" i="9" s="1"/>
  <c r="H105" i="9"/>
  <c r="H104" i="9" s="1"/>
  <c r="G105" i="9"/>
  <c r="G104" i="9" s="1"/>
  <c r="F105" i="9"/>
  <c r="F104" i="9" s="1"/>
  <c r="E105" i="9"/>
  <c r="E104" i="9" s="1"/>
  <c r="D105" i="9"/>
  <c r="D104" i="9" s="1"/>
  <c r="O104" i="9"/>
  <c r="J104" i="9"/>
  <c r="O101" i="9"/>
  <c r="O100" i="9" s="1"/>
  <c r="N101" i="9"/>
  <c r="N100" i="9" s="1"/>
  <c r="L101" i="9"/>
  <c r="L100" i="9" s="1"/>
  <c r="K101" i="9"/>
  <c r="J101" i="9"/>
  <c r="J100" i="9" s="1"/>
  <c r="I101" i="9"/>
  <c r="H101" i="9"/>
  <c r="H100" i="9" s="1"/>
  <c r="G101" i="9"/>
  <c r="F101" i="9"/>
  <c r="F100" i="9" s="1"/>
  <c r="E101" i="9"/>
  <c r="E100" i="9" s="1"/>
  <c r="K100" i="9"/>
  <c r="G100" i="9"/>
  <c r="O98" i="9"/>
  <c r="O95" i="9" s="1"/>
  <c r="L98" i="9"/>
  <c r="L95" i="9" s="1"/>
  <c r="K98" i="9"/>
  <c r="K95" i="9" s="1"/>
  <c r="J98" i="9"/>
  <c r="I98" i="9"/>
  <c r="I95" i="9" s="1"/>
  <c r="H98" i="9"/>
  <c r="H95" i="9" s="1"/>
  <c r="G98" i="9"/>
  <c r="G95" i="9" s="1"/>
  <c r="F98" i="9"/>
  <c r="F95" i="9" s="1"/>
  <c r="E98" i="9"/>
  <c r="E95" i="9" s="1"/>
  <c r="J95" i="9"/>
  <c r="Q85" i="9"/>
  <c r="Q84" i="9" s="1"/>
  <c r="P85" i="9"/>
  <c r="P84" i="9" s="1"/>
  <c r="O85" i="9"/>
  <c r="O84" i="9" s="1"/>
  <c r="N85" i="9"/>
  <c r="N84" i="9" s="1"/>
  <c r="L85" i="9"/>
  <c r="L84" i="9" s="1"/>
  <c r="K85" i="9"/>
  <c r="K84" i="9" s="1"/>
  <c r="J85" i="9"/>
  <c r="J84" i="9" s="1"/>
  <c r="I85" i="9"/>
  <c r="H85" i="9"/>
  <c r="H84" i="9" s="1"/>
  <c r="G85" i="9"/>
  <c r="G84" i="9" s="1"/>
  <c r="F85" i="9"/>
  <c r="F84" i="9" s="1"/>
  <c r="E85" i="9"/>
  <c r="E84" i="9" s="1"/>
  <c r="L82" i="9"/>
  <c r="L79" i="9" s="1"/>
  <c r="K82" i="9"/>
  <c r="J82" i="9"/>
  <c r="J79" i="9" s="1"/>
  <c r="I82" i="9"/>
  <c r="H82" i="9"/>
  <c r="H79" i="9" s="1"/>
  <c r="G82" i="9"/>
  <c r="G79" i="9" s="1"/>
  <c r="F82" i="9"/>
  <c r="F79" i="9" s="1"/>
  <c r="E82" i="9"/>
  <c r="E79" i="9" s="1"/>
  <c r="Q79" i="9"/>
  <c r="O76" i="9"/>
  <c r="O75" i="9" s="1"/>
  <c r="D76" i="9"/>
  <c r="D75" i="9" s="1"/>
  <c r="Z75" i="9" s="1"/>
  <c r="Q76" i="9"/>
  <c r="Q75" i="9" s="1"/>
  <c r="P76" i="9"/>
  <c r="P75" i="9" s="1"/>
  <c r="N76" i="9"/>
  <c r="N75" i="9" s="1"/>
  <c r="L76" i="9"/>
  <c r="L75" i="9" s="1"/>
  <c r="K76" i="9"/>
  <c r="K75" i="9" s="1"/>
  <c r="J76" i="9"/>
  <c r="I76" i="9"/>
  <c r="I75" i="9" s="1"/>
  <c r="H76" i="9"/>
  <c r="H75" i="9" s="1"/>
  <c r="G76" i="9"/>
  <c r="G75" i="9" s="1"/>
  <c r="F76" i="9"/>
  <c r="F75" i="9" s="1"/>
  <c r="E76" i="9"/>
  <c r="E75" i="9" s="1"/>
  <c r="J75" i="9"/>
  <c r="N73" i="9"/>
  <c r="N72" i="9" s="1"/>
  <c r="L74" i="9"/>
  <c r="M74" i="9" s="1"/>
  <c r="D74" i="9" s="1"/>
  <c r="O73" i="9"/>
  <c r="O72" i="9" s="1"/>
  <c r="K73" i="9"/>
  <c r="K72" i="9" s="1"/>
  <c r="J73" i="9"/>
  <c r="J72" i="9" s="1"/>
  <c r="I73" i="9"/>
  <c r="I72" i="9" s="1"/>
  <c r="H73" i="9"/>
  <c r="G73" i="9"/>
  <c r="G72" i="9" s="1"/>
  <c r="F73" i="9"/>
  <c r="F72" i="9" s="1"/>
  <c r="E73" i="9"/>
  <c r="E72" i="9" s="1"/>
  <c r="Q72" i="9"/>
  <c r="P72" i="9"/>
  <c r="H72" i="9"/>
  <c r="O70" i="9"/>
  <c r="Q69" i="9"/>
  <c r="P69" i="9"/>
  <c r="P68" i="9" s="1"/>
  <c r="N69" i="9"/>
  <c r="N68" i="9" s="1"/>
  <c r="L69" i="9"/>
  <c r="L68" i="9" s="1"/>
  <c r="K69" i="9"/>
  <c r="K68" i="9" s="1"/>
  <c r="J69" i="9"/>
  <c r="J68" i="9" s="1"/>
  <c r="I69" i="9"/>
  <c r="I68" i="9" s="1"/>
  <c r="H69" i="9"/>
  <c r="H68" i="9" s="1"/>
  <c r="G69" i="9"/>
  <c r="G68" i="9" s="1"/>
  <c r="F69" i="9"/>
  <c r="F68" i="9" s="1"/>
  <c r="E69" i="9"/>
  <c r="E68" i="9" s="1"/>
  <c r="Q68" i="9"/>
  <c r="N67" i="9"/>
  <c r="L66" i="9"/>
  <c r="L65" i="9" s="1"/>
  <c r="K66" i="9"/>
  <c r="K65" i="9" s="1"/>
  <c r="J66" i="9"/>
  <c r="J65" i="9" s="1"/>
  <c r="I66" i="9"/>
  <c r="I65" i="9" s="1"/>
  <c r="H66" i="9"/>
  <c r="H65" i="9" s="1"/>
  <c r="G66" i="9"/>
  <c r="G65" i="9" s="1"/>
  <c r="F66" i="9"/>
  <c r="F65" i="9" s="1"/>
  <c r="E66" i="9"/>
  <c r="E65" i="9" s="1"/>
  <c r="Q65" i="9"/>
  <c r="Q10" i="9" s="1"/>
  <c r="P65" i="9"/>
  <c r="P10" i="9" s="1"/>
  <c r="O65" i="9"/>
  <c r="O10" i="9" s="1"/>
  <c r="O62" i="9"/>
  <c r="O61" i="9" s="1"/>
  <c r="K63" i="9"/>
  <c r="M63" i="9" s="1"/>
  <c r="D63" i="9" s="1"/>
  <c r="Q62" i="9"/>
  <c r="P62" i="9"/>
  <c r="P61" i="9" s="1"/>
  <c r="N62" i="9"/>
  <c r="N61" i="9" s="1"/>
  <c r="J62" i="9"/>
  <c r="J61" i="9" s="1"/>
  <c r="I62" i="9"/>
  <c r="I61" i="9" s="1"/>
  <c r="H62" i="9"/>
  <c r="H61" i="9" s="1"/>
  <c r="G62" i="9"/>
  <c r="G61" i="9" s="1"/>
  <c r="F62" i="9"/>
  <c r="F61" i="9" s="1"/>
  <c r="E62" i="9"/>
  <c r="E61" i="9" s="1"/>
  <c r="Q61" i="9"/>
  <c r="L60" i="9"/>
  <c r="K60" i="9"/>
  <c r="K59" i="9" s="1"/>
  <c r="K56" i="9" s="1"/>
  <c r="Q59" i="9"/>
  <c r="Q56" i="9" s="1"/>
  <c r="P59" i="9"/>
  <c r="O59" i="9"/>
  <c r="O56" i="9" s="1"/>
  <c r="N59" i="9"/>
  <c r="N56" i="9" s="1"/>
  <c r="J59" i="9"/>
  <c r="J56" i="9" s="1"/>
  <c r="I59" i="9"/>
  <c r="I56" i="9" s="1"/>
  <c r="H59" i="9"/>
  <c r="G59" i="9"/>
  <c r="G56" i="9" s="1"/>
  <c r="F59" i="9"/>
  <c r="F56" i="9" s="1"/>
  <c r="E59" i="9"/>
  <c r="E56" i="9" s="1"/>
  <c r="H56" i="9"/>
  <c r="L53" i="9"/>
  <c r="L52" i="9" s="1"/>
  <c r="K54" i="9"/>
  <c r="O53" i="9"/>
  <c r="N53" i="9"/>
  <c r="N52" i="9" s="1"/>
  <c r="J53" i="9"/>
  <c r="J52" i="9" s="1"/>
  <c r="I53" i="9"/>
  <c r="I52" i="9" s="1"/>
  <c r="H53" i="9"/>
  <c r="H52" i="9" s="1"/>
  <c r="G53" i="9"/>
  <c r="G52" i="9" s="1"/>
  <c r="F53" i="9"/>
  <c r="F52" i="9" s="1"/>
  <c r="E53" i="9"/>
  <c r="E52" i="9" s="1"/>
  <c r="O52" i="9"/>
  <c r="N50" i="9"/>
  <c r="N49" i="9" s="1"/>
  <c r="L50" i="9"/>
  <c r="L49" i="9" s="1"/>
  <c r="K50" i="9"/>
  <c r="K49" i="9" s="1"/>
  <c r="J50" i="9"/>
  <c r="J49" i="9" s="1"/>
  <c r="I50" i="9"/>
  <c r="I49" i="9" s="1"/>
  <c r="H50" i="9"/>
  <c r="H49" i="9" s="1"/>
  <c r="G50" i="9"/>
  <c r="G49" i="9" s="1"/>
  <c r="F50" i="9"/>
  <c r="F49" i="9" s="1"/>
  <c r="E50" i="9"/>
  <c r="E49" i="9" s="1"/>
  <c r="O46" i="9"/>
  <c r="L47" i="9"/>
  <c r="K47" i="9"/>
  <c r="Q46" i="9"/>
  <c r="P46" i="9"/>
  <c r="P45" i="9" s="1"/>
  <c r="N35" i="10" s="1"/>
  <c r="N46" i="9"/>
  <c r="N45" i="9" s="1"/>
  <c r="K46" i="9"/>
  <c r="K45" i="9" s="1"/>
  <c r="J46" i="9"/>
  <c r="I46" i="9"/>
  <c r="I45" i="9" s="1"/>
  <c r="H46" i="9"/>
  <c r="H45" i="9" s="1"/>
  <c r="G46" i="9"/>
  <c r="G45" i="9" s="1"/>
  <c r="F46" i="9"/>
  <c r="F45" i="9" s="1"/>
  <c r="E46" i="9"/>
  <c r="E45" i="9" s="1"/>
  <c r="Q45" i="9"/>
  <c r="O35" i="10" s="1"/>
  <c r="O45" i="9"/>
  <c r="J45" i="9"/>
  <c r="L44" i="9"/>
  <c r="M44" i="9" s="1"/>
  <c r="D44" i="9" s="1"/>
  <c r="K44" i="9"/>
  <c r="Q43" i="9"/>
  <c r="P43" i="9"/>
  <c r="O43" i="9"/>
  <c r="K43" i="9"/>
  <c r="J43" i="9"/>
  <c r="I43" i="9"/>
  <c r="H43" i="9"/>
  <c r="G43" i="9"/>
  <c r="F43" i="9"/>
  <c r="E43" i="9"/>
  <c r="L42" i="9"/>
  <c r="K42" i="9"/>
  <c r="K13" i="9" s="1"/>
  <c r="K12" i="9" s="1"/>
  <c r="Q41" i="9"/>
  <c r="P41" i="9"/>
  <c r="O41" i="9"/>
  <c r="O40" i="9" s="1"/>
  <c r="O9" i="9" s="1"/>
  <c r="J41" i="9"/>
  <c r="I41" i="9"/>
  <c r="H41" i="9"/>
  <c r="G41" i="9"/>
  <c r="F41" i="9"/>
  <c r="E41" i="9"/>
  <c r="D37" i="9"/>
  <c r="D36" i="9" s="1"/>
  <c r="N37" i="9"/>
  <c r="N36" i="9" s="1"/>
  <c r="L37" i="9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L36" i="9"/>
  <c r="K34" i="9"/>
  <c r="J34" i="9"/>
  <c r="I34" i="9"/>
  <c r="H34" i="9"/>
  <c r="G34" i="9"/>
  <c r="F34" i="9"/>
  <c r="E34" i="9"/>
  <c r="K32" i="9"/>
  <c r="J32" i="9"/>
  <c r="I32" i="9"/>
  <c r="H32" i="9"/>
  <c r="G32" i="9"/>
  <c r="F32" i="9"/>
  <c r="E32" i="9"/>
  <c r="O28" i="9"/>
  <c r="O27" i="9" s="1"/>
  <c r="K28" i="9"/>
  <c r="K27" i="9" s="1"/>
  <c r="J28" i="9"/>
  <c r="J27" i="9" s="1"/>
  <c r="N28" i="9"/>
  <c r="N27" i="9" s="1"/>
  <c r="I28" i="9"/>
  <c r="I27" i="9" s="1"/>
  <c r="H28" i="9"/>
  <c r="H27" i="9" s="1"/>
  <c r="G28" i="9"/>
  <c r="G27" i="9" s="1"/>
  <c r="F28" i="9"/>
  <c r="F27" i="9" s="1"/>
  <c r="E28" i="9"/>
  <c r="E27" i="9" s="1"/>
  <c r="L25" i="9"/>
  <c r="K25" i="9"/>
  <c r="I25" i="9"/>
  <c r="H25" i="9"/>
  <c r="G25" i="9"/>
  <c r="F25" i="9"/>
  <c r="E25" i="9"/>
  <c r="K23" i="9"/>
  <c r="I23" i="9"/>
  <c r="I22" i="9" s="1"/>
  <c r="H23" i="9"/>
  <c r="G23" i="9"/>
  <c r="G22" i="9" s="1"/>
  <c r="F23" i="9"/>
  <c r="E23" i="9"/>
  <c r="E22" i="9" s="1"/>
  <c r="R20" i="9"/>
  <c r="Q20" i="9"/>
  <c r="P20" i="9"/>
  <c r="O20" i="9"/>
  <c r="N20" i="9"/>
  <c r="L20" i="9"/>
  <c r="K20" i="9"/>
  <c r="J20" i="9"/>
  <c r="I20" i="9"/>
  <c r="H20" i="9"/>
  <c r="G20" i="9"/>
  <c r="F20" i="9"/>
  <c r="E20" i="9"/>
  <c r="R19" i="9"/>
  <c r="Q19" i="9"/>
  <c r="P19" i="9"/>
  <c r="N19" i="9"/>
  <c r="I19" i="9"/>
  <c r="I18" i="9" s="1"/>
  <c r="I17" i="9" s="1"/>
  <c r="H19" i="9"/>
  <c r="G19" i="9"/>
  <c r="G18" i="9" s="1"/>
  <c r="G17" i="9" s="1"/>
  <c r="F19" i="9"/>
  <c r="E19" i="9"/>
  <c r="E18" i="9" s="1"/>
  <c r="E17" i="9" s="1"/>
  <c r="R16" i="9"/>
  <c r="Q16" i="9"/>
  <c r="P16" i="9"/>
  <c r="O16" i="9"/>
  <c r="O14" i="9" s="1"/>
  <c r="O11" i="9" s="1"/>
  <c r="N16" i="9"/>
  <c r="L16" i="9"/>
  <c r="K16" i="9"/>
  <c r="J16" i="9"/>
  <c r="I16" i="9"/>
  <c r="H16" i="9"/>
  <c r="G16" i="9"/>
  <c r="F16" i="9"/>
  <c r="E16" i="9"/>
  <c r="R15" i="9"/>
  <c r="Q15" i="9"/>
  <c r="P15" i="9"/>
  <c r="J15" i="9"/>
  <c r="I15" i="9"/>
  <c r="H15" i="9"/>
  <c r="G15" i="9"/>
  <c r="F15" i="9"/>
  <c r="E15" i="9"/>
  <c r="R13" i="9"/>
  <c r="R12" i="9" s="1"/>
  <c r="Q13" i="9"/>
  <c r="Q12" i="9" s="1"/>
  <c r="I12" i="9"/>
  <c r="E12" i="9"/>
  <c r="H12" i="9"/>
  <c r="R9" i="9"/>
  <c r="O222" i="8"/>
  <c r="O221" i="8" s="1"/>
  <c r="N222" i="8"/>
  <c r="L222" i="8"/>
  <c r="L221" i="8" s="1"/>
  <c r="K222" i="8"/>
  <c r="K221" i="8" s="1"/>
  <c r="J222" i="8"/>
  <c r="J221" i="8" s="1"/>
  <c r="I222" i="8"/>
  <c r="I221" i="8" s="1"/>
  <c r="H222" i="8"/>
  <c r="H221" i="8" s="1"/>
  <c r="G222" i="8"/>
  <c r="F222" i="8"/>
  <c r="F221" i="8" s="1"/>
  <c r="E222" i="8"/>
  <c r="E221" i="8" s="1"/>
  <c r="D222" i="8"/>
  <c r="D221" i="8" s="1"/>
  <c r="N221" i="8"/>
  <c r="G221" i="8"/>
  <c r="O218" i="8"/>
  <c r="O217" i="8" s="1"/>
  <c r="O183" i="8" s="1"/>
  <c r="N218" i="8"/>
  <c r="N217" i="8" s="1"/>
  <c r="L218" i="8"/>
  <c r="K218" i="8"/>
  <c r="K217" i="8" s="1"/>
  <c r="J218" i="8"/>
  <c r="J217" i="8" s="1"/>
  <c r="I218" i="8"/>
  <c r="I217" i="8" s="1"/>
  <c r="H218" i="8"/>
  <c r="H217" i="8" s="1"/>
  <c r="G218" i="8"/>
  <c r="G217" i="8" s="1"/>
  <c r="F218" i="8"/>
  <c r="F217" i="8" s="1"/>
  <c r="E218" i="8"/>
  <c r="E217" i="8" s="1"/>
  <c r="L217" i="8"/>
  <c r="N214" i="8"/>
  <c r="K214" i="8"/>
  <c r="J214" i="8"/>
  <c r="I214" i="8"/>
  <c r="H214" i="8"/>
  <c r="G214" i="8"/>
  <c r="F214" i="8"/>
  <c r="E214" i="8"/>
  <c r="N213" i="8"/>
  <c r="K213" i="8"/>
  <c r="J213" i="8"/>
  <c r="I213" i="8"/>
  <c r="H213" i="8"/>
  <c r="G213" i="8"/>
  <c r="F213" i="8"/>
  <c r="E213" i="8"/>
  <c r="M212" i="8"/>
  <c r="K211" i="8"/>
  <c r="K210" i="8" s="1"/>
  <c r="J211" i="8"/>
  <c r="J210" i="8" s="1"/>
  <c r="I211" i="8"/>
  <c r="I210" i="8" s="1"/>
  <c r="H211" i="8"/>
  <c r="H210" i="8" s="1"/>
  <c r="G211" i="8"/>
  <c r="G210" i="8" s="1"/>
  <c r="F211" i="8"/>
  <c r="F210" i="8" s="1"/>
  <c r="E211" i="8"/>
  <c r="E210" i="8"/>
  <c r="D208" i="8"/>
  <c r="D207" i="8"/>
  <c r="D195" i="8" s="1"/>
  <c r="L206" i="8"/>
  <c r="K206" i="8"/>
  <c r="K205" i="8" s="1"/>
  <c r="J206" i="8"/>
  <c r="I206" i="8"/>
  <c r="I205" i="8" s="1"/>
  <c r="H206" i="8"/>
  <c r="G206" i="8"/>
  <c r="G205" i="8" s="1"/>
  <c r="F206" i="8"/>
  <c r="F205" i="8" s="1"/>
  <c r="E206" i="8"/>
  <c r="E205" i="8" s="1"/>
  <c r="L205" i="8"/>
  <c r="J205" i="8"/>
  <c r="H205" i="8"/>
  <c r="D204" i="8"/>
  <c r="P203" i="8"/>
  <c r="O203" i="8"/>
  <c r="N203" i="8"/>
  <c r="L203" i="8"/>
  <c r="K203" i="8"/>
  <c r="J203" i="8"/>
  <c r="I203" i="8"/>
  <c r="H203" i="8"/>
  <c r="E203" i="8"/>
  <c r="D203" i="8"/>
  <c r="D202" i="8"/>
  <c r="D201" i="8"/>
  <c r="D189" i="8" s="1"/>
  <c r="D200" i="8"/>
  <c r="L199" i="8"/>
  <c r="K199" i="8"/>
  <c r="J199" i="8"/>
  <c r="J198" i="8" s="1"/>
  <c r="I199" i="8"/>
  <c r="H199" i="8"/>
  <c r="H198" i="8" s="1"/>
  <c r="G199" i="8"/>
  <c r="F199" i="8"/>
  <c r="F198" i="8" s="1"/>
  <c r="E199" i="8"/>
  <c r="L198" i="8"/>
  <c r="G198" i="8"/>
  <c r="O196" i="8"/>
  <c r="L78" i="1" s="1"/>
  <c r="K78" i="1"/>
  <c r="H78" i="1"/>
  <c r="J196" i="8"/>
  <c r="G78" i="1" s="1"/>
  <c r="I196" i="8"/>
  <c r="F78" i="1" s="1"/>
  <c r="H196" i="8"/>
  <c r="E78" i="1" s="1"/>
  <c r="G196" i="8"/>
  <c r="D78" i="1" s="1"/>
  <c r="F196" i="8"/>
  <c r="C78" i="1" s="1"/>
  <c r="E196" i="8"/>
  <c r="B78" i="1" s="1"/>
  <c r="O195" i="8"/>
  <c r="L80" i="1" s="1"/>
  <c r="N195" i="8"/>
  <c r="K80" i="1" s="1"/>
  <c r="K140" i="1" s="1"/>
  <c r="K202" i="1" s="1"/>
  <c r="I80" i="1"/>
  <c r="H80" i="1"/>
  <c r="J195" i="8"/>
  <c r="I195" i="8"/>
  <c r="F80" i="1" s="1"/>
  <c r="H195" i="8"/>
  <c r="G195" i="8"/>
  <c r="D80" i="1" s="1"/>
  <c r="F195" i="8"/>
  <c r="E195" i="8"/>
  <c r="O190" i="8"/>
  <c r="L65" i="1" s="1"/>
  <c r="K65" i="1"/>
  <c r="I65" i="1"/>
  <c r="H65" i="1"/>
  <c r="J190" i="8"/>
  <c r="G65" i="1" s="1"/>
  <c r="I190" i="8"/>
  <c r="F65" i="1" s="1"/>
  <c r="H190" i="8"/>
  <c r="E65" i="1" s="1"/>
  <c r="G190" i="8"/>
  <c r="D65" i="1" s="1"/>
  <c r="F190" i="8"/>
  <c r="C65" i="1" s="1"/>
  <c r="E190" i="8"/>
  <c r="B65" i="1" s="1"/>
  <c r="O189" i="8"/>
  <c r="N189" i="8"/>
  <c r="K71" i="1" s="1"/>
  <c r="K124" i="1" s="1"/>
  <c r="K190" i="1" s="1"/>
  <c r="H71" i="1"/>
  <c r="J189" i="8"/>
  <c r="I189" i="8"/>
  <c r="F71" i="1" s="1"/>
  <c r="H189" i="8"/>
  <c r="G189" i="8"/>
  <c r="D71" i="1" s="1"/>
  <c r="F189" i="8"/>
  <c r="E189" i="8"/>
  <c r="B71" i="1" s="1"/>
  <c r="K185" i="8"/>
  <c r="K184" i="8" s="1"/>
  <c r="R183" i="8"/>
  <c r="R181" i="8" s="1"/>
  <c r="Q183" i="8"/>
  <c r="P183" i="8"/>
  <c r="X183" i="8" s="1"/>
  <c r="Q181" i="8"/>
  <c r="D179" i="8"/>
  <c r="D177" i="8" s="1"/>
  <c r="D178" i="8"/>
  <c r="L177" i="8"/>
  <c r="K177" i="8"/>
  <c r="J177" i="8"/>
  <c r="J173" i="8" s="1"/>
  <c r="I177" i="8"/>
  <c r="E177" i="8"/>
  <c r="E173" i="8" s="1"/>
  <c r="D176" i="8"/>
  <c r="D175" i="8"/>
  <c r="L174" i="8"/>
  <c r="K174" i="8"/>
  <c r="K173" i="8" s="1"/>
  <c r="J174" i="8"/>
  <c r="I174" i="8"/>
  <c r="I173" i="8" s="1"/>
  <c r="E174" i="8"/>
  <c r="L173" i="8"/>
  <c r="D172" i="8"/>
  <c r="D171" i="8" s="1"/>
  <c r="L171" i="8"/>
  <c r="K171" i="8"/>
  <c r="J171" i="8"/>
  <c r="I171" i="8"/>
  <c r="H171" i="8"/>
  <c r="E171" i="8"/>
  <c r="D170" i="8"/>
  <c r="D169" i="8"/>
  <c r="L168" i="8"/>
  <c r="L167" i="8" s="1"/>
  <c r="K168" i="8"/>
  <c r="J168" i="8"/>
  <c r="J167" i="8" s="1"/>
  <c r="I168" i="8"/>
  <c r="H168" i="8"/>
  <c r="H167" i="8" s="1"/>
  <c r="G168" i="8"/>
  <c r="F168" i="8"/>
  <c r="F167" i="8" s="1"/>
  <c r="E168" i="8"/>
  <c r="D168" i="8"/>
  <c r="G167" i="8"/>
  <c r="R164" i="8"/>
  <c r="R160" i="8" s="1"/>
  <c r="Q164" i="8"/>
  <c r="P164" i="8"/>
  <c r="O164" i="8"/>
  <c r="N164" i="8"/>
  <c r="N160" i="8" s="1"/>
  <c r="L164" i="8"/>
  <c r="K164" i="8"/>
  <c r="J164" i="8"/>
  <c r="I164" i="8"/>
  <c r="I160" i="8" s="1"/>
  <c r="H164" i="8"/>
  <c r="G164" i="8"/>
  <c r="F164" i="8"/>
  <c r="E164" i="8"/>
  <c r="D164" i="8"/>
  <c r="D163" i="8"/>
  <c r="R161" i="8"/>
  <c r="Q161" i="8"/>
  <c r="P161" i="8"/>
  <c r="O161" i="8"/>
  <c r="N161" i="8"/>
  <c r="L161" i="8"/>
  <c r="K161" i="8"/>
  <c r="J161" i="8"/>
  <c r="I161" i="8"/>
  <c r="H161" i="8"/>
  <c r="G161" i="8"/>
  <c r="F161" i="8"/>
  <c r="E161" i="8"/>
  <c r="D161" i="8"/>
  <c r="P160" i="8"/>
  <c r="K160" i="8"/>
  <c r="R158" i="8"/>
  <c r="Q158" i="8"/>
  <c r="P158" i="8"/>
  <c r="O158" i="8"/>
  <c r="N158" i="8"/>
  <c r="L158" i="8"/>
  <c r="K158" i="8"/>
  <c r="J158" i="8"/>
  <c r="I158" i="8"/>
  <c r="H158" i="8"/>
  <c r="G158" i="8"/>
  <c r="F158" i="8"/>
  <c r="E158" i="8"/>
  <c r="D158" i="8"/>
  <c r="D155" i="8"/>
  <c r="R155" i="8"/>
  <c r="Q155" i="8"/>
  <c r="P155" i="8"/>
  <c r="O155" i="8"/>
  <c r="N155" i="8"/>
  <c r="L155" i="8"/>
  <c r="K155" i="8"/>
  <c r="J155" i="8"/>
  <c r="I155" i="8"/>
  <c r="H155" i="8"/>
  <c r="G155" i="8"/>
  <c r="F155" i="8"/>
  <c r="E155" i="8"/>
  <c r="D152" i="8"/>
  <c r="R150" i="8"/>
  <c r="Q150" i="8"/>
  <c r="P150" i="8"/>
  <c r="O150" i="8"/>
  <c r="N150" i="8"/>
  <c r="L150" i="8"/>
  <c r="K150" i="8"/>
  <c r="J150" i="8"/>
  <c r="I150" i="8"/>
  <c r="H150" i="8"/>
  <c r="G150" i="8"/>
  <c r="F150" i="8"/>
  <c r="E150" i="8"/>
  <c r="D150" i="8"/>
  <c r="D149" i="8"/>
  <c r="R147" i="8"/>
  <c r="Q147" i="8"/>
  <c r="P147" i="8"/>
  <c r="O147" i="8"/>
  <c r="N147" i="8"/>
  <c r="N146" i="8" s="1"/>
  <c r="L147" i="8"/>
  <c r="K147" i="8"/>
  <c r="J147" i="8"/>
  <c r="I147" i="8"/>
  <c r="I146" i="8" s="1"/>
  <c r="H147" i="8"/>
  <c r="G147" i="8"/>
  <c r="F147" i="8"/>
  <c r="E147" i="8"/>
  <c r="E146" i="8" s="1"/>
  <c r="D147" i="8"/>
  <c r="R146" i="8"/>
  <c r="P14" i="10" s="1"/>
  <c r="K146" i="8"/>
  <c r="R144" i="8"/>
  <c r="Q144" i="8"/>
  <c r="P144" i="8"/>
  <c r="O144" i="8"/>
  <c r="N144" i="8"/>
  <c r="L144" i="8"/>
  <c r="K144" i="8"/>
  <c r="J144" i="8"/>
  <c r="I144" i="8"/>
  <c r="H144" i="8"/>
  <c r="G144" i="8"/>
  <c r="F144" i="8"/>
  <c r="E144" i="8"/>
  <c r="D144" i="8"/>
  <c r="R141" i="8"/>
  <c r="Q141" i="8"/>
  <c r="P141" i="8"/>
  <c r="O141" i="8"/>
  <c r="N141" i="8"/>
  <c r="L141" i="8"/>
  <c r="L140" i="8" s="1"/>
  <c r="K141" i="8"/>
  <c r="J141" i="8"/>
  <c r="I141" i="8"/>
  <c r="H141" i="8"/>
  <c r="H140" i="8" s="1"/>
  <c r="G141" i="8"/>
  <c r="F141" i="8"/>
  <c r="F140" i="8" s="1"/>
  <c r="E141" i="8"/>
  <c r="J140" i="8"/>
  <c r="K138" i="8"/>
  <c r="M138" i="8" s="1"/>
  <c r="O137" i="8"/>
  <c r="O136" i="8" s="1"/>
  <c r="N137" i="8"/>
  <c r="L137" i="8"/>
  <c r="L136" i="8" s="1"/>
  <c r="J137" i="8"/>
  <c r="J136" i="8" s="1"/>
  <c r="I137" i="8"/>
  <c r="H137" i="8"/>
  <c r="H136" i="8" s="1"/>
  <c r="G137" i="8"/>
  <c r="G136" i="8" s="1"/>
  <c r="F137" i="8"/>
  <c r="F136" i="8" s="1"/>
  <c r="E137" i="8"/>
  <c r="E136" i="8" s="1"/>
  <c r="N136" i="8"/>
  <c r="I136" i="8"/>
  <c r="O134" i="8"/>
  <c r="N134" i="8"/>
  <c r="N133" i="8" s="1"/>
  <c r="L134" i="8"/>
  <c r="L133" i="8" s="1"/>
  <c r="K134" i="8"/>
  <c r="K133" i="8" s="1"/>
  <c r="J134" i="8"/>
  <c r="J133" i="8" s="1"/>
  <c r="I134" i="8"/>
  <c r="I133" i="8" s="1"/>
  <c r="H134" i="8"/>
  <c r="H133" i="8" s="1"/>
  <c r="G134" i="8"/>
  <c r="G133" i="8" s="1"/>
  <c r="F134" i="8"/>
  <c r="F133" i="8" s="1"/>
  <c r="E134" i="8"/>
  <c r="E133" i="8" s="1"/>
  <c r="O133" i="8"/>
  <c r="L131" i="8"/>
  <c r="I131" i="8"/>
  <c r="O130" i="8"/>
  <c r="N130" i="8"/>
  <c r="L130" i="8"/>
  <c r="K130" i="8"/>
  <c r="J130" i="8"/>
  <c r="H130" i="8"/>
  <c r="G130" i="8"/>
  <c r="F130" i="8"/>
  <c r="E130" i="8"/>
  <c r="L129" i="8"/>
  <c r="M129" i="8" s="1"/>
  <c r="D129" i="8" s="1"/>
  <c r="O128" i="8"/>
  <c r="O127" i="8" s="1"/>
  <c r="N128" i="8"/>
  <c r="N127" i="8" s="1"/>
  <c r="K128" i="8"/>
  <c r="K127" i="8" s="1"/>
  <c r="J128" i="8"/>
  <c r="I128" i="8"/>
  <c r="H128" i="8"/>
  <c r="G128" i="8"/>
  <c r="G127" i="8" s="1"/>
  <c r="F128" i="8"/>
  <c r="E128" i="8"/>
  <c r="E127" i="8" s="1"/>
  <c r="H127" i="8"/>
  <c r="L126" i="8"/>
  <c r="M126" i="8" s="1"/>
  <c r="D126" i="8" s="1"/>
  <c r="O125" i="8"/>
  <c r="N125" i="8"/>
  <c r="L125" i="8"/>
  <c r="K125" i="8"/>
  <c r="J125" i="8"/>
  <c r="I125" i="8"/>
  <c r="H125" i="8"/>
  <c r="G125" i="8"/>
  <c r="F125" i="8"/>
  <c r="E125" i="8"/>
  <c r="L124" i="8"/>
  <c r="M124" i="8" s="1"/>
  <c r="D124" i="8" s="1"/>
  <c r="O122" i="8"/>
  <c r="N122" i="8"/>
  <c r="K122" i="8"/>
  <c r="K121" i="8" s="1"/>
  <c r="J122" i="8"/>
  <c r="I122" i="8"/>
  <c r="I121" i="8" s="1"/>
  <c r="H122" i="8"/>
  <c r="H121" i="8" s="1"/>
  <c r="G122" i="8"/>
  <c r="G121" i="8" s="1"/>
  <c r="F122" i="8"/>
  <c r="F121" i="8" s="1"/>
  <c r="E122" i="8"/>
  <c r="E121" i="8" s="1"/>
  <c r="J121" i="8"/>
  <c r="L119" i="8"/>
  <c r="K119" i="8"/>
  <c r="I119" i="8"/>
  <c r="E119" i="8"/>
  <c r="M119" i="8" s="1"/>
  <c r="D119" i="8" s="1"/>
  <c r="L118" i="8"/>
  <c r="L32" i="8" s="1"/>
  <c r="I43" i="1" s="1"/>
  <c r="I141" i="1" s="1"/>
  <c r="I203" i="1" s="1"/>
  <c r="K118" i="8"/>
  <c r="J118" i="8"/>
  <c r="E118" i="8"/>
  <c r="O117" i="8"/>
  <c r="N117" i="8"/>
  <c r="L117" i="8"/>
  <c r="H117" i="8"/>
  <c r="G117" i="8"/>
  <c r="F117" i="8"/>
  <c r="L116" i="8"/>
  <c r="K116" i="8"/>
  <c r="I116" i="8"/>
  <c r="E116" i="8"/>
  <c r="M116" i="8" s="1"/>
  <c r="D116" i="8" s="1"/>
  <c r="L115" i="8"/>
  <c r="K115" i="8"/>
  <c r="K114" i="8" s="1"/>
  <c r="J115" i="8"/>
  <c r="I115" i="8"/>
  <c r="M115" i="8" s="1"/>
  <c r="D115" i="8" s="1"/>
  <c r="N114" i="8"/>
  <c r="I114" i="8"/>
  <c r="H114" i="8"/>
  <c r="G114" i="8"/>
  <c r="G113" i="8" s="1"/>
  <c r="F114" i="8"/>
  <c r="E114" i="8"/>
  <c r="L112" i="8"/>
  <c r="L110" i="8" s="1"/>
  <c r="K112" i="8"/>
  <c r="K21" i="8" s="1"/>
  <c r="H29" i="1" s="1"/>
  <c r="H129" i="1" s="1"/>
  <c r="H191" i="1" s="1"/>
  <c r="J112" i="8"/>
  <c r="J110" i="8" s="1"/>
  <c r="I112" i="8"/>
  <c r="I110" i="8" s="1"/>
  <c r="E111" i="8"/>
  <c r="M111" i="8" s="1"/>
  <c r="D111" i="8" s="1"/>
  <c r="O110" i="8"/>
  <c r="N110" i="8"/>
  <c r="K110" i="8"/>
  <c r="H110" i="8"/>
  <c r="G110" i="8"/>
  <c r="F110" i="8"/>
  <c r="E110" i="8"/>
  <c r="L109" i="8"/>
  <c r="K109" i="8"/>
  <c r="J109" i="8"/>
  <c r="I109" i="8"/>
  <c r="M109" i="8" s="1"/>
  <c r="D109" i="8" s="1"/>
  <c r="N107" i="8"/>
  <c r="K107" i="8"/>
  <c r="K106" i="8" s="1"/>
  <c r="J108" i="8"/>
  <c r="I108" i="8"/>
  <c r="I107" i="8" s="1"/>
  <c r="H108" i="8"/>
  <c r="H14" i="8" s="1"/>
  <c r="F108" i="8"/>
  <c r="F14" i="8" s="1"/>
  <c r="O107" i="8"/>
  <c r="L107" i="8"/>
  <c r="J107" i="8"/>
  <c r="H107" i="8"/>
  <c r="H106" i="8" s="1"/>
  <c r="G107" i="8"/>
  <c r="I104" i="8"/>
  <c r="M104" i="8" s="1"/>
  <c r="D104" i="8" s="1"/>
  <c r="L103" i="8"/>
  <c r="L102" i="8" s="1"/>
  <c r="K103" i="8"/>
  <c r="K102" i="8" s="1"/>
  <c r="J103" i="8"/>
  <c r="E102" i="8"/>
  <c r="L101" i="8"/>
  <c r="L100" i="8" s="1"/>
  <c r="K101" i="8"/>
  <c r="K100" i="8" s="1"/>
  <c r="J101" i="8"/>
  <c r="J100" i="8" s="1"/>
  <c r="I101" i="8"/>
  <c r="M101" i="8" s="1"/>
  <c r="D101" i="8" s="1"/>
  <c r="N100" i="8"/>
  <c r="N99" i="8" s="1"/>
  <c r="I100" i="8"/>
  <c r="H100" i="8"/>
  <c r="H99" i="8" s="1"/>
  <c r="E100" i="8"/>
  <c r="E99" i="8" s="1"/>
  <c r="L99" i="8"/>
  <c r="I98" i="8"/>
  <c r="M98" i="8" s="1"/>
  <c r="D98" i="8" s="1"/>
  <c r="L97" i="8"/>
  <c r="L96" i="8" s="1"/>
  <c r="K97" i="8"/>
  <c r="K96" i="8" s="1"/>
  <c r="J97" i="8"/>
  <c r="L95" i="8"/>
  <c r="L94" i="8" s="1"/>
  <c r="K95" i="8"/>
  <c r="J95" i="8"/>
  <c r="J94" i="8" s="1"/>
  <c r="I95" i="8"/>
  <c r="N94" i="8"/>
  <c r="K94" i="8"/>
  <c r="H94" i="8"/>
  <c r="H93" i="8" s="1"/>
  <c r="E94" i="8"/>
  <c r="E93" i="8" s="1"/>
  <c r="L93" i="8"/>
  <c r="D90" i="8"/>
  <c r="Q90" i="8"/>
  <c r="P90" i="8"/>
  <c r="O90" i="8"/>
  <c r="N90" i="8"/>
  <c r="L90" i="8"/>
  <c r="K90" i="8"/>
  <c r="J90" i="8"/>
  <c r="I90" i="8"/>
  <c r="H90" i="8"/>
  <c r="G90" i="8"/>
  <c r="F90" i="8"/>
  <c r="E90" i="8"/>
  <c r="P88" i="8"/>
  <c r="P87" i="8" s="1"/>
  <c r="L89" i="8"/>
  <c r="M89" i="8" s="1"/>
  <c r="D89" i="8" s="1"/>
  <c r="Q88" i="8"/>
  <c r="Q87" i="8" s="1"/>
  <c r="O18" i="10" s="1"/>
  <c r="O88" i="8"/>
  <c r="O87" i="8" s="1"/>
  <c r="N88" i="8"/>
  <c r="N87" i="8" s="1"/>
  <c r="L88" i="8"/>
  <c r="L87" i="8" s="1"/>
  <c r="K88" i="8"/>
  <c r="K87" i="8" s="1"/>
  <c r="J88" i="8"/>
  <c r="J87" i="8" s="1"/>
  <c r="I88" i="8"/>
  <c r="I87" i="8" s="1"/>
  <c r="H88" i="8"/>
  <c r="H87" i="8" s="1"/>
  <c r="G88" i="8"/>
  <c r="G87" i="8" s="1"/>
  <c r="F88" i="8"/>
  <c r="F87" i="8" s="1"/>
  <c r="E88" i="8"/>
  <c r="E87" i="8" s="1"/>
  <c r="L86" i="8"/>
  <c r="K86" i="8"/>
  <c r="M86" i="8" s="1"/>
  <c r="D86" i="8" s="1"/>
  <c r="Q85" i="8"/>
  <c r="P85" i="8"/>
  <c r="O85" i="8"/>
  <c r="L85" i="8"/>
  <c r="J85" i="8"/>
  <c r="I85" i="8"/>
  <c r="H85" i="8"/>
  <c r="G85" i="8"/>
  <c r="F85" i="8"/>
  <c r="E85" i="8"/>
  <c r="E82" i="8" s="1"/>
  <c r="L84" i="8"/>
  <c r="M84" i="8" s="1"/>
  <c r="D84" i="8" s="1"/>
  <c r="Q83" i="8"/>
  <c r="O83" i="8"/>
  <c r="N83" i="8"/>
  <c r="K83" i="8"/>
  <c r="J83" i="8"/>
  <c r="J82" i="8" s="1"/>
  <c r="I83" i="8"/>
  <c r="H83" i="8"/>
  <c r="H82" i="8" s="1"/>
  <c r="G83" i="8"/>
  <c r="F83" i="8"/>
  <c r="F82" i="8" s="1"/>
  <c r="E83" i="8"/>
  <c r="I82" i="8"/>
  <c r="D80" i="8"/>
  <c r="N79" i="8"/>
  <c r="L79" i="8"/>
  <c r="K79" i="8"/>
  <c r="J79" i="8"/>
  <c r="I79" i="8"/>
  <c r="H79" i="8"/>
  <c r="E79" i="8"/>
  <c r="D79" i="8"/>
  <c r="O77" i="8"/>
  <c r="N78" i="8"/>
  <c r="J78" i="8"/>
  <c r="P77" i="8"/>
  <c r="L77" i="8"/>
  <c r="K77" i="8"/>
  <c r="J77" i="8"/>
  <c r="I77" i="8"/>
  <c r="H77" i="8"/>
  <c r="G77" i="8"/>
  <c r="F77" i="8"/>
  <c r="E77" i="8"/>
  <c r="O27" i="8"/>
  <c r="L76" i="8"/>
  <c r="L27" i="8" s="1"/>
  <c r="K76" i="8"/>
  <c r="P75" i="8"/>
  <c r="N75" i="8"/>
  <c r="L75" i="8"/>
  <c r="L74" i="8" s="1"/>
  <c r="J18" i="10" s="1"/>
  <c r="K75" i="8"/>
  <c r="J75" i="8"/>
  <c r="I75" i="8"/>
  <c r="I74" i="8" s="1"/>
  <c r="H75" i="8"/>
  <c r="H74" i="8" s="1"/>
  <c r="F18" i="10" s="1"/>
  <c r="G75" i="8"/>
  <c r="F75" i="8"/>
  <c r="F74" i="8" s="1"/>
  <c r="D18" i="10" s="1"/>
  <c r="E75" i="8"/>
  <c r="E74" i="8" s="1"/>
  <c r="P74" i="8"/>
  <c r="K74" i="8"/>
  <c r="G74" i="8"/>
  <c r="L73" i="8"/>
  <c r="L72" i="8" s="1"/>
  <c r="K73" i="8"/>
  <c r="J73" i="8"/>
  <c r="N72" i="8"/>
  <c r="K72" i="8"/>
  <c r="I72" i="8"/>
  <c r="H72" i="8"/>
  <c r="G72" i="8"/>
  <c r="F72" i="8"/>
  <c r="E72" i="8"/>
  <c r="L71" i="8"/>
  <c r="L70" i="8" s="1"/>
  <c r="L69" i="8" s="1"/>
  <c r="K71" i="8"/>
  <c r="P70" i="8"/>
  <c r="O70" i="8"/>
  <c r="N70" i="8"/>
  <c r="K70" i="8"/>
  <c r="J70" i="8"/>
  <c r="I70" i="8"/>
  <c r="H70" i="8"/>
  <c r="G70" i="8"/>
  <c r="F70" i="8"/>
  <c r="E70" i="8"/>
  <c r="K66" i="8"/>
  <c r="M66" i="8" s="1"/>
  <c r="O65" i="8"/>
  <c r="N65" i="8"/>
  <c r="L65" i="8"/>
  <c r="J65" i="8"/>
  <c r="I65" i="8"/>
  <c r="H65" i="8"/>
  <c r="G65" i="8"/>
  <c r="F65" i="8"/>
  <c r="E65" i="8"/>
  <c r="K63" i="8"/>
  <c r="M63" i="8" s="1"/>
  <c r="O62" i="8"/>
  <c r="N62" i="8"/>
  <c r="L62" i="8"/>
  <c r="J62" i="8"/>
  <c r="J61" i="8" s="1"/>
  <c r="I62" i="8"/>
  <c r="H62" i="8"/>
  <c r="H61" i="8" s="1"/>
  <c r="G62" i="8"/>
  <c r="F62" i="8"/>
  <c r="F61" i="8" s="1"/>
  <c r="D16" i="10" s="1"/>
  <c r="E62" i="8"/>
  <c r="N61" i="8"/>
  <c r="G61" i="8"/>
  <c r="E16" i="10" s="1"/>
  <c r="K59" i="8"/>
  <c r="O58" i="8"/>
  <c r="N58" i="8"/>
  <c r="L58" i="8"/>
  <c r="J58" i="8"/>
  <c r="I58" i="8"/>
  <c r="H58" i="8"/>
  <c r="G58" i="8"/>
  <c r="F58" i="8"/>
  <c r="E58" i="8"/>
  <c r="K56" i="8"/>
  <c r="M56" i="8" s="1"/>
  <c r="O55" i="8"/>
  <c r="N55" i="8"/>
  <c r="L55" i="8"/>
  <c r="J55" i="8"/>
  <c r="J54" i="8" s="1"/>
  <c r="I55" i="8"/>
  <c r="H55" i="8"/>
  <c r="G55" i="8"/>
  <c r="F55" i="8"/>
  <c r="E55" i="8"/>
  <c r="H54" i="8"/>
  <c r="I51" i="8"/>
  <c r="E51" i="8"/>
  <c r="M51" i="8" s="1"/>
  <c r="L50" i="8"/>
  <c r="L49" i="8" s="1"/>
  <c r="K50" i="8"/>
  <c r="J50" i="8"/>
  <c r="M50" i="8" s="1"/>
  <c r="D50" i="8" s="1"/>
  <c r="O49" i="8"/>
  <c r="N49" i="8"/>
  <c r="K49" i="8"/>
  <c r="I49" i="8"/>
  <c r="H49" i="8"/>
  <c r="G49" i="8"/>
  <c r="F49" i="8"/>
  <c r="I47" i="8"/>
  <c r="I45" i="8" s="1"/>
  <c r="E47" i="8"/>
  <c r="O25" i="8"/>
  <c r="L46" i="8"/>
  <c r="L25" i="8" s="1"/>
  <c r="K46" i="8"/>
  <c r="K45" i="8" s="1"/>
  <c r="J46" i="8"/>
  <c r="N45" i="8"/>
  <c r="N44" i="8" s="1"/>
  <c r="L16" i="10" s="1"/>
  <c r="H45" i="8"/>
  <c r="H44" i="8" s="1"/>
  <c r="G45" i="8"/>
  <c r="F45" i="8"/>
  <c r="I43" i="8"/>
  <c r="E43" i="8"/>
  <c r="M43" i="8" s="1"/>
  <c r="O20" i="8"/>
  <c r="L42" i="8"/>
  <c r="L40" i="8" s="1"/>
  <c r="K42" i="8"/>
  <c r="J42" i="8"/>
  <c r="M42" i="8" s="1"/>
  <c r="H40" i="8"/>
  <c r="G40" i="8"/>
  <c r="F40" i="8"/>
  <c r="I39" i="8"/>
  <c r="I36" i="8" s="1"/>
  <c r="E39" i="8"/>
  <c r="O15" i="8"/>
  <c r="L38" i="8"/>
  <c r="K38" i="8"/>
  <c r="K36" i="8" s="1"/>
  <c r="J38" i="8"/>
  <c r="J37" i="8"/>
  <c r="M37" i="8" s="1"/>
  <c r="D37" i="8" s="1"/>
  <c r="N36" i="8"/>
  <c r="L36" i="8"/>
  <c r="H36" i="8"/>
  <c r="H35" i="8" s="1"/>
  <c r="G36" i="8"/>
  <c r="F36" i="8"/>
  <c r="R33" i="8"/>
  <c r="Q33" i="8"/>
  <c r="P33" i="8"/>
  <c r="O33" i="8"/>
  <c r="N33" i="8"/>
  <c r="L33" i="8"/>
  <c r="J33" i="8"/>
  <c r="I33" i="8"/>
  <c r="H33" i="8"/>
  <c r="G33" i="8"/>
  <c r="F33" i="8"/>
  <c r="E33" i="8"/>
  <c r="K32" i="8"/>
  <c r="H43" i="1" s="1"/>
  <c r="H32" i="8"/>
  <c r="G32" i="8"/>
  <c r="D43" i="1" s="1"/>
  <c r="F32" i="8"/>
  <c r="E32" i="8"/>
  <c r="B43" i="1" s="1"/>
  <c r="B141" i="1" s="1"/>
  <c r="B203" i="1" s="1"/>
  <c r="L31" i="8"/>
  <c r="K31" i="8"/>
  <c r="J31" i="8"/>
  <c r="I31" i="8"/>
  <c r="R28" i="8"/>
  <c r="O34" i="1" s="1"/>
  <c r="O135" i="1" s="1"/>
  <c r="O197" i="1" s="1"/>
  <c r="Q28" i="8"/>
  <c r="N34" i="1" s="1"/>
  <c r="N135" i="1" s="1"/>
  <c r="N197" i="1" s="1"/>
  <c r="P28" i="8"/>
  <c r="M34" i="1" s="1"/>
  <c r="M135" i="1" s="1"/>
  <c r="M197" i="1" s="1"/>
  <c r="O28" i="8"/>
  <c r="L34" i="1" s="1"/>
  <c r="N28" i="8"/>
  <c r="K34" i="1" s="1"/>
  <c r="K135" i="1" s="1"/>
  <c r="K197" i="1" s="1"/>
  <c r="L28" i="8"/>
  <c r="I34" i="1" s="1"/>
  <c r="I135" i="1" s="1"/>
  <c r="I197" i="1" s="1"/>
  <c r="K28" i="8"/>
  <c r="H34" i="1" s="1"/>
  <c r="H135" i="1" s="1"/>
  <c r="H197" i="1" s="1"/>
  <c r="J28" i="8"/>
  <c r="G34" i="1" s="1"/>
  <c r="G135" i="1" s="1"/>
  <c r="G197" i="1" s="1"/>
  <c r="I28" i="8"/>
  <c r="F34" i="1" s="1"/>
  <c r="F135" i="1" s="1"/>
  <c r="F197" i="1" s="1"/>
  <c r="H28" i="8"/>
  <c r="E34" i="1" s="1"/>
  <c r="E135" i="1" s="1"/>
  <c r="E197" i="1" s="1"/>
  <c r="G28" i="8"/>
  <c r="D34" i="1" s="1"/>
  <c r="D135" i="1" s="1"/>
  <c r="D197" i="1" s="1"/>
  <c r="F28" i="8"/>
  <c r="C34" i="1" s="1"/>
  <c r="C135" i="1" s="1"/>
  <c r="C197" i="1" s="1"/>
  <c r="E28" i="8"/>
  <c r="B34" i="1" s="1"/>
  <c r="B135" i="1" s="1"/>
  <c r="B197" i="1" s="1"/>
  <c r="R27" i="8"/>
  <c r="Q27" i="8"/>
  <c r="P27" i="8"/>
  <c r="N27" i="8"/>
  <c r="K27" i="8"/>
  <c r="J27" i="8"/>
  <c r="I27" i="8"/>
  <c r="H27" i="8"/>
  <c r="G27" i="8"/>
  <c r="F27" i="8"/>
  <c r="E27" i="8"/>
  <c r="K26" i="8"/>
  <c r="H35" i="1" s="1"/>
  <c r="I26" i="8"/>
  <c r="F35" i="1" s="1"/>
  <c r="H26" i="8"/>
  <c r="E35" i="1" s="1"/>
  <c r="G26" i="8"/>
  <c r="D35" i="1" s="1"/>
  <c r="F26" i="8"/>
  <c r="E26" i="8"/>
  <c r="B35" i="1" s="1"/>
  <c r="I25" i="8"/>
  <c r="H25" i="8"/>
  <c r="G25" i="8"/>
  <c r="F25" i="8"/>
  <c r="E25" i="8"/>
  <c r="R22" i="8"/>
  <c r="Q22" i="8"/>
  <c r="P22" i="8"/>
  <c r="O22" i="8"/>
  <c r="N22" i="8"/>
  <c r="L22" i="8"/>
  <c r="K22" i="8"/>
  <c r="J22" i="8"/>
  <c r="I22" i="8"/>
  <c r="H22" i="8"/>
  <c r="G22" i="8"/>
  <c r="F22" i="8"/>
  <c r="E22" i="8"/>
  <c r="V29" i="1"/>
  <c r="L21" i="8"/>
  <c r="I29" i="1" s="1"/>
  <c r="I129" i="1" s="1"/>
  <c r="I191" i="1" s="1"/>
  <c r="J21" i="8"/>
  <c r="G29" i="1" s="1"/>
  <c r="G129" i="1" s="1"/>
  <c r="G191" i="1" s="1"/>
  <c r="H21" i="8"/>
  <c r="E29" i="1" s="1"/>
  <c r="E129" i="1" s="1"/>
  <c r="E191" i="1" s="1"/>
  <c r="G21" i="8"/>
  <c r="D29" i="1" s="1"/>
  <c r="D129" i="1" s="1"/>
  <c r="D191" i="1" s="1"/>
  <c r="F21" i="8"/>
  <c r="C29" i="1" s="1"/>
  <c r="C129" i="1" s="1"/>
  <c r="C191" i="1" s="1"/>
  <c r="E21" i="8"/>
  <c r="B29" i="1" s="1"/>
  <c r="B129" i="1" s="1"/>
  <c r="B191" i="1" s="1"/>
  <c r="L20" i="8"/>
  <c r="J20" i="8"/>
  <c r="I20" i="8"/>
  <c r="E20" i="8"/>
  <c r="R19" i="8"/>
  <c r="O26" i="1" s="1"/>
  <c r="Q19" i="8"/>
  <c r="N26" i="1" s="1"/>
  <c r="P19" i="8"/>
  <c r="M26" i="1" s="1"/>
  <c r="O19" i="8"/>
  <c r="L26" i="1" s="1"/>
  <c r="N19" i="8"/>
  <c r="K26" i="1" s="1"/>
  <c r="L19" i="8"/>
  <c r="I26" i="1" s="1"/>
  <c r="K19" i="8"/>
  <c r="H26" i="1" s="1"/>
  <c r="J19" i="8"/>
  <c r="G26" i="1" s="1"/>
  <c r="I19" i="8"/>
  <c r="F26" i="1" s="1"/>
  <c r="H19" i="8"/>
  <c r="E26" i="1" s="1"/>
  <c r="G19" i="8"/>
  <c r="D26" i="1" s="1"/>
  <c r="F19" i="8"/>
  <c r="C26" i="1" s="1"/>
  <c r="E19" i="8"/>
  <c r="B26" i="1" s="1"/>
  <c r="L18" i="8"/>
  <c r="Q17" i="8"/>
  <c r="O17" i="8"/>
  <c r="N17" i="8"/>
  <c r="L17" i="8"/>
  <c r="K17" i="8"/>
  <c r="J17" i="8"/>
  <c r="I17" i="8"/>
  <c r="H17" i="8"/>
  <c r="G17" i="8"/>
  <c r="F17" i="8"/>
  <c r="E17" i="8"/>
  <c r="L16" i="8"/>
  <c r="I20" i="1" s="1"/>
  <c r="J16" i="8"/>
  <c r="G20" i="1" s="1"/>
  <c r="H16" i="8"/>
  <c r="E20" i="1" s="1"/>
  <c r="G16" i="8"/>
  <c r="D20" i="1" s="1"/>
  <c r="F16" i="8"/>
  <c r="C20" i="1" s="1"/>
  <c r="L15" i="8"/>
  <c r="K15" i="8"/>
  <c r="J15" i="8"/>
  <c r="I15" i="8"/>
  <c r="H15" i="8"/>
  <c r="G15" i="8"/>
  <c r="G13" i="8" s="1"/>
  <c r="F15" i="8"/>
  <c r="E15" i="8"/>
  <c r="R14" i="8"/>
  <c r="Q14" i="8"/>
  <c r="P14" i="8"/>
  <c r="O14" i="8"/>
  <c r="L14" i="8"/>
  <c r="I14" i="8"/>
  <c r="F1" i="8"/>
  <c r="N90" i="7"/>
  <c r="L90" i="7"/>
  <c r="K90" i="7"/>
  <c r="M90" i="7" s="1"/>
  <c r="D90" i="7" s="1"/>
  <c r="H90" i="7"/>
  <c r="R89" i="7"/>
  <c r="Q89" i="7"/>
  <c r="P89" i="7"/>
  <c r="O89" i="7"/>
  <c r="L89" i="7"/>
  <c r="J89" i="7"/>
  <c r="J86" i="7" s="1"/>
  <c r="I89" i="7"/>
  <c r="E89" i="7"/>
  <c r="E86" i="7" s="1"/>
  <c r="N88" i="7"/>
  <c r="L88" i="7"/>
  <c r="K88" i="7"/>
  <c r="M88" i="7" s="1"/>
  <c r="D88" i="7" s="1"/>
  <c r="R87" i="7"/>
  <c r="Q87" i="7"/>
  <c r="P87" i="7"/>
  <c r="P86" i="7" s="1"/>
  <c r="O87" i="7"/>
  <c r="N87" i="7"/>
  <c r="L87" i="7"/>
  <c r="L86" i="7" s="1"/>
  <c r="J87" i="7"/>
  <c r="I87" i="7"/>
  <c r="H87" i="7"/>
  <c r="G87" i="7"/>
  <c r="F87" i="7"/>
  <c r="E87" i="7"/>
  <c r="R86" i="7"/>
  <c r="I86" i="7"/>
  <c r="N85" i="7"/>
  <c r="N84" i="7" s="1"/>
  <c r="L85" i="7"/>
  <c r="K85" i="7"/>
  <c r="R84" i="7"/>
  <c r="Q84" i="7"/>
  <c r="P84" i="7"/>
  <c r="O84" i="7"/>
  <c r="L84" i="7"/>
  <c r="J84" i="7"/>
  <c r="J80" i="7" s="1"/>
  <c r="I84" i="7"/>
  <c r="E84" i="7"/>
  <c r="N83" i="7"/>
  <c r="N81" i="7" s="1"/>
  <c r="L83" i="7"/>
  <c r="L81" i="7" s="1"/>
  <c r="K83" i="7"/>
  <c r="M83" i="7" s="1"/>
  <c r="D83" i="7" s="1"/>
  <c r="R81" i="7"/>
  <c r="R80" i="7" s="1"/>
  <c r="Q81" i="7"/>
  <c r="P81" i="7"/>
  <c r="P80" i="7" s="1"/>
  <c r="K81" i="7"/>
  <c r="I81" i="7"/>
  <c r="I80" i="7" s="1"/>
  <c r="E81" i="7"/>
  <c r="O77" i="7"/>
  <c r="N78" i="7"/>
  <c r="M78" i="7" s="1"/>
  <c r="R77" i="7"/>
  <c r="Q77" i="7"/>
  <c r="P77" i="7"/>
  <c r="L77" i="7"/>
  <c r="K77" i="7"/>
  <c r="J77" i="7"/>
  <c r="I77" i="7"/>
  <c r="E77" i="7"/>
  <c r="O75" i="7"/>
  <c r="N76" i="7"/>
  <c r="M76" i="7" s="1"/>
  <c r="R75" i="7"/>
  <c r="Q75" i="7"/>
  <c r="Q74" i="7" s="1"/>
  <c r="P75" i="7"/>
  <c r="L75" i="7"/>
  <c r="K75" i="7"/>
  <c r="J75" i="7"/>
  <c r="I75" i="7"/>
  <c r="E75" i="7"/>
  <c r="H74" i="7"/>
  <c r="G74" i="7"/>
  <c r="F74" i="7"/>
  <c r="O72" i="7"/>
  <c r="N73" i="7"/>
  <c r="M73" i="7" s="1"/>
  <c r="R72" i="7"/>
  <c r="Q72" i="7"/>
  <c r="P72" i="7"/>
  <c r="N72" i="7"/>
  <c r="L72" i="7"/>
  <c r="K72" i="7"/>
  <c r="J72" i="7"/>
  <c r="I72" i="7"/>
  <c r="E72" i="7"/>
  <c r="N71" i="7"/>
  <c r="M71" i="7" s="1"/>
  <c r="R69" i="7"/>
  <c r="Q69" i="7"/>
  <c r="Q68" i="7" s="1"/>
  <c r="P69" i="7"/>
  <c r="O69" i="7"/>
  <c r="L69" i="7"/>
  <c r="K69" i="7"/>
  <c r="J69" i="7"/>
  <c r="I69" i="7"/>
  <c r="H69" i="7"/>
  <c r="G69" i="7"/>
  <c r="F69" i="7"/>
  <c r="E69" i="7"/>
  <c r="E68" i="7" s="1"/>
  <c r="R65" i="7"/>
  <c r="Q65" i="7"/>
  <c r="P65" i="7"/>
  <c r="O65" i="7"/>
  <c r="N65" i="7"/>
  <c r="L65" i="7"/>
  <c r="K65" i="7"/>
  <c r="J65" i="7"/>
  <c r="I65" i="7"/>
  <c r="H65" i="7"/>
  <c r="H62" i="7" s="1"/>
  <c r="G65" i="7"/>
  <c r="F65" i="7"/>
  <c r="F62" i="7" s="1"/>
  <c r="E65" i="7"/>
  <c r="D65" i="7"/>
  <c r="L64" i="7"/>
  <c r="M64" i="7" s="1"/>
  <c r="D64" i="7" s="1"/>
  <c r="R63" i="7"/>
  <c r="Q63" i="7"/>
  <c r="P63" i="7"/>
  <c r="P62" i="7" s="1"/>
  <c r="O63" i="7"/>
  <c r="O62" i="7" s="1"/>
  <c r="N63" i="7"/>
  <c r="N62" i="7" s="1"/>
  <c r="L63" i="7"/>
  <c r="L62" i="7" s="1"/>
  <c r="K63" i="7"/>
  <c r="J63" i="7"/>
  <c r="J62" i="7" s="1"/>
  <c r="R62" i="7"/>
  <c r="K62" i="7"/>
  <c r="I62" i="7"/>
  <c r="G62" i="7"/>
  <c r="E62" i="7"/>
  <c r="D60" i="7"/>
  <c r="R60" i="7"/>
  <c r="Q60" i="7"/>
  <c r="P60" i="7"/>
  <c r="P56" i="7" s="1"/>
  <c r="O60" i="7"/>
  <c r="N60" i="7"/>
  <c r="L60" i="7"/>
  <c r="K60" i="7"/>
  <c r="J60" i="7"/>
  <c r="J56" i="7" s="1"/>
  <c r="I60" i="7"/>
  <c r="I56" i="7" s="1"/>
  <c r="H60" i="7"/>
  <c r="H56" i="7" s="1"/>
  <c r="G60" i="7"/>
  <c r="F60" i="7"/>
  <c r="F56" i="7" s="1"/>
  <c r="E60" i="7"/>
  <c r="E56" i="7" s="1"/>
  <c r="L58" i="7"/>
  <c r="L57" i="7" s="1"/>
  <c r="L56" i="7" s="1"/>
  <c r="K58" i="7"/>
  <c r="R56" i="7"/>
  <c r="N56" i="7"/>
  <c r="Q56" i="7"/>
  <c r="G56" i="7"/>
  <c r="O53" i="7"/>
  <c r="L54" i="7"/>
  <c r="K54" i="7"/>
  <c r="E54" i="7"/>
  <c r="M54" i="7" s="1"/>
  <c r="D54" i="7" s="1"/>
  <c r="R53" i="7"/>
  <c r="Q53" i="7"/>
  <c r="P53" i="7"/>
  <c r="L53" i="7"/>
  <c r="J53" i="7"/>
  <c r="I53" i="7"/>
  <c r="L52" i="7"/>
  <c r="K52" i="7"/>
  <c r="M52" i="7" s="1"/>
  <c r="D52" i="7" s="1"/>
  <c r="R51" i="7"/>
  <c r="Q51" i="7"/>
  <c r="P51" i="7"/>
  <c r="O51" i="7"/>
  <c r="N51" i="7"/>
  <c r="L51" i="7"/>
  <c r="J51" i="7"/>
  <c r="I51" i="7"/>
  <c r="H51" i="7"/>
  <c r="H50" i="7" s="1"/>
  <c r="G51" i="7"/>
  <c r="G50" i="7" s="1"/>
  <c r="F51" i="7"/>
  <c r="F50" i="7" s="1"/>
  <c r="E51" i="7"/>
  <c r="I50" i="7"/>
  <c r="N48" i="7"/>
  <c r="L49" i="7"/>
  <c r="L48" i="7" s="1"/>
  <c r="K49" i="7"/>
  <c r="K48" i="7" s="1"/>
  <c r="E49" i="7"/>
  <c r="M49" i="7" s="1"/>
  <c r="D49" i="7" s="1"/>
  <c r="R48" i="7"/>
  <c r="Q48" i="7"/>
  <c r="P48" i="7"/>
  <c r="O48" i="7"/>
  <c r="J48" i="7"/>
  <c r="I48" i="7"/>
  <c r="L46" i="7"/>
  <c r="L45" i="7" s="1"/>
  <c r="K46" i="7"/>
  <c r="K45" i="7" s="1"/>
  <c r="I46" i="7"/>
  <c r="I45" i="7" s="1"/>
  <c r="E46" i="7"/>
  <c r="R45" i="7"/>
  <c r="R44" i="7" s="1"/>
  <c r="Q45" i="7"/>
  <c r="P45" i="7"/>
  <c r="P44" i="7" s="1"/>
  <c r="O45" i="7"/>
  <c r="N45" i="7"/>
  <c r="J45" i="7"/>
  <c r="J44" i="7" s="1"/>
  <c r="N41" i="7"/>
  <c r="L42" i="7"/>
  <c r="K42" i="7"/>
  <c r="K41" i="7" s="1"/>
  <c r="J42" i="7"/>
  <c r="J41" i="7" s="1"/>
  <c r="E42" i="7"/>
  <c r="R41" i="7"/>
  <c r="Q41" i="7"/>
  <c r="P41" i="7"/>
  <c r="P38" i="7" s="1"/>
  <c r="O41" i="7"/>
  <c r="L41" i="7"/>
  <c r="I41" i="7"/>
  <c r="L40" i="7"/>
  <c r="L39" i="7" s="1"/>
  <c r="K40" i="7"/>
  <c r="M40" i="7" s="1"/>
  <c r="D40" i="7" s="1"/>
  <c r="R39" i="7"/>
  <c r="Q39" i="7"/>
  <c r="P39" i="7"/>
  <c r="O39" i="7"/>
  <c r="N39" i="7"/>
  <c r="K39" i="7"/>
  <c r="J39" i="7"/>
  <c r="I39" i="7"/>
  <c r="H39" i="7"/>
  <c r="H38" i="7" s="1"/>
  <c r="G39" i="7"/>
  <c r="G38" i="7" s="1"/>
  <c r="F39" i="7"/>
  <c r="F38" i="7" s="1"/>
  <c r="E39" i="7"/>
  <c r="O36" i="7"/>
  <c r="L37" i="7"/>
  <c r="L36" i="7" s="1"/>
  <c r="K37" i="7"/>
  <c r="K36" i="7" s="1"/>
  <c r="J37" i="7"/>
  <c r="J36" i="7" s="1"/>
  <c r="I37" i="7"/>
  <c r="I36" i="7" s="1"/>
  <c r="E37" i="7"/>
  <c r="R36" i="7"/>
  <c r="Q36" i="7"/>
  <c r="P36" i="7"/>
  <c r="E36" i="7"/>
  <c r="L35" i="7"/>
  <c r="K35" i="7"/>
  <c r="J35" i="7"/>
  <c r="M35" i="7" s="1"/>
  <c r="D35" i="7" s="1"/>
  <c r="N33" i="7"/>
  <c r="L34" i="7"/>
  <c r="K34" i="7"/>
  <c r="J34" i="7"/>
  <c r="I34" i="7"/>
  <c r="E34" i="7"/>
  <c r="M34" i="7" s="1"/>
  <c r="D34" i="7" s="1"/>
  <c r="R33" i="7"/>
  <c r="Q33" i="7"/>
  <c r="P33" i="7"/>
  <c r="K33" i="7"/>
  <c r="K32" i="7" s="1"/>
  <c r="H33" i="7"/>
  <c r="H32" i="7" s="1"/>
  <c r="G33" i="7"/>
  <c r="F33" i="7"/>
  <c r="F32" i="7" s="1"/>
  <c r="G32" i="7"/>
  <c r="L30" i="7"/>
  <c r="K30" i="7"/>
  <c r="J30" i="7"/>
  <c r="J21" i="7" s="1"/>
  <c r="J20" i="7" s="1"/>
  <c r="K29" i="7"/>
  <c r="I29" i="7"/>
  <c r="E29" i="7"/>
  <c r="E28" i="7" s="1"/>
  <c r="P28" i="7"/>
  <c r="O28" i="7"/>
  <c r="N28" i="7"/>
  <c r="K28" i="7"/>
  <c r="I28" i="7"/>
  <c r="L27" i="7"/>
  <c r="K27" i="7"/>
  <c r="K26" i="7" s="1"/>
  <c r="J27" i="7"/>
  <c r="D27" i="7" s="1"/>
  <c r="D26" i="7" s="1"/>
  <c r="L26" i="7"/>
  <c r="I26" i="7"/>
  <c r="E26" i="7"/>
  <c r="N25" i="7"/>
  <c r="N24" i="7" s="1"/>
  <c r="N23" i="7" s="1"/>
  <c r="L25" i="7"/>
  <c r="L24" i="7" s="1"/>
  <c r="K25" i="7"/>
  <c r="J25" i="7"/>
  <c r="J24" i="7" s="1"/>
  <c r="E25" i="7"/>
  <c r="M25" i="7" s="1"/>
  <c r="D25" i="7" s="1"/>
  <c r="R24" i="7"/>
  <c r="R23" i="7" s="1"/>
  <c r="Q24" i="7"/>
  <c r="P24" i="7"/>
  <c r="P23" i="7" s="1"/>
  <c r="O24" i="7"/>
  <c r="O23" i="7" s="1"/>
  <c r="K24" i="7"/>
  <c r="I24" i="7"/>
  <c r="Q23" i="7"/>
  <c r="O21" i="7"/>
  <c r="O20" i="7" s="1"/>
  <c r="I21" i="7"/>
  <c r="I20" i="7" s="1"/>
  <c r="H21" i="7"/>
  <c r="G21" i="7"/>
  <c r="F21" i="7"/>
  <c r="E21" i="7"/>
  <c r="E20" i="7" s="1"/>
  <c r="H20" i="7"/>
  <c r="G20" i="7"/>
  <c r="F20" i="7"/>
  <c r="K19" i="7"/>
  <c r="J19" i="7"/>
  <c r="I19" i="7"/>
  <c r="H19" i="7"/>
  <c r="G19" i="7"/>
  <c r="F19" i="7"/>
  <c r="E19" i="7"/>
  <c r="E18" i="7" s="1"/>
  <c r="G18" i="7"/>
  <c r="K16" i="7"/>
  <c r="J16" i="7"/>
  <c r="G73" i="1" s="1"/>
  <c r="G72" i="1" s="1"/>
  <c r="I16" i="7"/>
  <c r="H16" i="7"/>
  <c r="E73" i="1" s="1"/>
  <c r="E72" i="1" s="1"/>
  <c r="G16" i="7"/>
  <c r="D73" i="1" s="1"/>
  <c r="D72" i="1" s="1"/>
  <c r="F16" i="7"/>
  <c r="C73" i="1" s="1"/>
  <c r="C72" i="1" s="1"/>
  <c r="E16" i="7"/>
  <c r="E15" i="7" s="1"/>
  <c r="J15" i="7"/>
  <c r="H15" i="7"/>
  <c r="G15" i="7"/>
  <c r="F15" i="7"/>
  <c r="I14" i="7"/>
  <c r="E14" i="7"/>
  <c r="H12" i="7"/>
  <c r="F12" i="7"/>
  <c r="F11" i="7" s="1"/>
  <c r="L10" i="7"/>
  <c r="L8" i="7" s="1"/>
  <c r="J10" i="7"/>
  <c r="J8" i="7" s="1"/>
  <c r="I10" i="7"/>
  <c r="I8" i="7" s="1"/>
  <c r="H8" i="7"/>
  <c r="F8" i="7"/>
  <c r="G8" i="7"/>
  <c r="J269" i="6"/>
  <c r="M269" i="6" s="1"/>
  <c r="O268" i="6"/>
  <c r="O267" i="6" s="1"/>
  <c r="N268" i="6"/>
  <c r="L268" i="6"/>
  <c r="L267" i="6" s="1"/>
  <c r="K268" i="6"/>
  <c r="K267" i="6" s="1"/>
  <c r="I268" i="6"/>
  <c r="H268" i="6"/>
  <c r="H267" i="6" s="1"/>
  <c r="G268" i="6"/>
  <c r="G267" i="6" s="1"/>
  <c r="F268" i="6"/>
  <c r="F267" i="6" s="1"/>
  <c r="E268" i="6"/>
  <c r="E267" i="6" s="1"/>
  <c r="N267" i="6"/>
  <c r="I267" i="6"/>
  <c r="J266" i="6"/>
  <c r="M266" i="6" s="1"/>
  <c r="N265" i="6"/>
  <c r="M265" i="6" s="1"/>
  <c r="D265" i="6" s="1"/>
  <c r="O264" i="6"/>
  <c r="O263" i="6" s="1"/>
  <c r="L264" i="6"/>
  <c r="L263" i="6" s="1"/>
  <c r="K264" i="6"/>
  <c r="I264" i="6"/>
  <c r="H264" i="6"/>
  <c r="H263" i="6" s="1"/>
  <c r="G264" i="6"/>
  <c r="G263" i="6" s="1"/>
  <c r="F264" i="6"/>
  <c r="F263" i="6" s="1"/>
  <c r="E264" i="6"/>
  <c r="E263" i="6" s="1"/>
  <c r="K263" i="6"/>
  <c r="I263" i="6"/>
  <c r="N260" i="6"/>
  <c r="N259" i="6" s="1"/>
  <c r="L261" i="6"/>
  <c r="L260" i="6" s="1"/>
  <c r="L259" i="6" s="1"/>
  <c r="L245" i="6" s="1"/>
  <c r="K261" i="6"/>
  <c r="K260" i="6" s="1"/>
  <c r="K259" i="6" s="1"/>
  <c r="J261" i="6"/>
  <c r="R260" i="6"/>
  <c r="R259" i="6" s="1"/>
  <c r="R245" i="6" s="1"/>
  <c r="Q260" i="6"/>
  <c r="Q259" i="6" s="1"/>
  <c r="Q245" i="6" s="1"/>
  <c r="P260" i="6"/>
  <c r="P259" i="6" s="1"/>
  <c r="P245" i="6" s="1"/>
  <c r="I260" i="6"/>
  <c r="I259" i="6" s="1"/>
  <c r="H260" i="6"/>
  <c r="H259" i="6" s="1"/>
  <c r="G260" i="6"/>
  <c r="G259" i="6" s="1"/>
  <c r="F260" i="6"/>
  <c r="F259" i="6" s="1"/>
  <c r="E260" i="6"/>
  <c r="E259" i="6" s="1"/>
  <c r="X257" i="6"/>
  <c r="X256" i="6" s="1"/>
  <c r="X255" i="6" s="1"/>
  <c r="O249" i="6"/>
  <c r="N257" i="6"/>
  <c r="L257" i="6"/>
  <c r="L256" i="6" s="1"/>
  <c r="L255" i="6" s="1"/>
  <c r="L246" i="6" s="1"/>
  <c r="K257" i="6"/>
  <c r="K256" i="6" s="1"/>
  <c r="K255" i="6" s="1"/>
  <c r="K246" i="6" s="1"/>
  <c r="J257" i="6"/>
  <c r="J256" i="6" s="1"/>
  <c r="J255" i="6" s="1"/>
  <c r="J246" i="6" s="1"/>
  <c r="I257" i="6"/>
  <c r="H256" i="6"/>
  <c r="G256" i="6"/>
  <c r="G255" i="6" s="1"/>
  <c r="G246" i="6" s="1"/>
  <c r="F256" i="6"/>
  <c r="F255" i="6" s="1"/>
  <c r="F246" i="6" s="1"/>
  <c r="E256" i="6"/>
  <c r="E255" i="6" s="1"/>
  <c r="E246" i="6" s="1"/>
  <c r="H255" i="6"/>
  <c r="H246" i="6" s="1"/>
  <c r="N251" i="6"/>
  <c r="O251" i="6"/>
  <c r="P250" i="6"/>
  <c r="O250" i="6"/>
  <c r="N250" i="6"/>
  <c r="Q249" i="6"/>
  <c r="Q248" i="6" s="1"/>
  <c r="Q247" i="6" s="1"/>
  <c r="K249" i="6"/>
  <c r="K248" i="6" s="1"/>
  <c r="K247" i="6" s="1"/>
  <c r="H249" i="6"/>
  <c r="H248" i="6" s="1"/>
  <c r="H247" i="6" s="1"/>
  <c r="G249" i="6"/>
  <c r="G248" i="6" s="1"/>
  <c r="G247" i="6" s="1"/>
  <c r="F249" i="6"/>
  <c r="F248" i="6" s="1"/>
  <c r="F247" i="6" s="1"/>
  <c r="R246" i="6"/>
  <c r="Q246" i="6"/>
  <c r="N111" i="6"/>
  <c r="N110" i="6" s="1"/>
  <c r="L112" i="6"/>
  <c r="K112" i="6"/>
  <c r="K111" i="6" s="1"/>
  <c r="K110" i="6" s="1"/>
  <c r="J112" i="6"/>
  <c r="O111" i="6"/>
  <c r="O110" i="6" s="1"/>
  <c r="L111" i="6"/>
  <c r="L110" i="6" s="1"/>
  <c r="I111" i="6"/>
  <c r="I110" i="6" s="1"/>
  <c r="H111" i="6"/>
  <c r="H110" i="6" s="1"/>
  <c r="G111" i="6"/>
  <c r="G110" i="6" s="1"/>
  <c r="F111" i="6"/>
  <c r="F110" i="6" s="1"/>
  <c r="E111" i="6"/>
  <c r="E110" i="6" s="1"/>
  <c r="Q110" i="6"/>
  <c r="P110" i="6"/>
  <c r="L109" i="6"/>
  <c r="L108" i="6" s="1"/>
  <c r="K109" i="6"/>
  <c r="K108" i="6" s="1"/>
  <c r="J109" i="6"/>
  <c r="O108" i="6"/>
  <c r="N108" i="6"/>
  <c r="I108" i="6"/>
  <c r="H108" i="6"/>
  <c r="G108" i="6"/>
  <c r="F108" i="6"/>
  <c r="E108" i="6"/>
  <c r="L107" i="6"/>
  <c r="L15" i="6" s="1"/>
  <c r="K107" i="6"/>
  <c r="K15" i="6" s="1"/>
  <c r="J107" i="6"/>
  <c r="O106" i="6"/>
  <c r="J106" i="6"/>
  <c r="I106" i="6"/>
  <c r="H106" i="6"/>
  <c r="G106" i="6"/>
  <c r="F106" i="6"/>
  <c r="E106" i="6"/>
  <c r="O102" i="6"/>
  <c r="L103" i="6"/>
  <c r="L102" i="6" s="1"/>
  <c r="K103" i="6"/>
  <c r="Q102" i="6"/>
  <c r="P102" i="6"/>
  <c r="N102" i="6"/>
  <c r="J102" i="6"/>
  <c r="I102" i="6"/>
  <c r="H102" i="6"/>
  <c r="G102" i="6"/>
  <c r="F102" i="6"/>
  <c r="E102" i="6"/>
  <c r="L101" i="6"/>
  <c r="K101" i="6"/>
  <c r="Q100" i="6"/>
  <c r="P100" i="6"/>
  <c r="N100" i="6"/>
  <c r="J100" i="6"/>
  <c r="I100" i="6"/>
  <c r="H100" i="6"/>
  <c r="G100" i="6"/>
  <c r="F100" i="6"/>
  <c r="E100" i="6"/>
  <c r="L98" i="6"/>
  <c r="L97" i="6" s="1"/>
  <c r="K98" i="6"/>
  <c r="E97" i="6"/>
  <c r="Q97" i="6"/>
  <c r="P97" i="6"/>
  <c r="O97" i="6"/>
  <c r="N97" i="6"/>
  <c r="J97" i="6"/>
  <c r="I97" i="6"/>
  <c r="H97" i="6"/>
  <c r="G97" i="6"/>
  <c r="F97" i="6"/>
  <c r="K96" i="6"/>
  <c r="Q95" i="6"/>
  <c r="P95" i="6"/>
  <c r="O95" i="6"/>
  <c r="N95" i="6"/>
  <c r="L95" i="6"/>
  <c r="J95" i="6"/>
  <c r="I95" i="6"/>
  <c r="H95" i="6"/>
  <c r="G95" i="6"/>
  <c r="F95" i="6"/>
  <c r="N91" i="6"/>
  <c r="N90" i="6" s="1"/>
  <c r="K92" i="6"/>
  <c r="O91" i="6"/>
  <c r="O90" i="6" s="1"/>
  <c r="L91" i="6"/>
  <c r="L90" i="6" s="1"/>
  <c r="J91" i="6"/>
  <c r="J90" i="6" s="1"/>
  <c r="I91" i="6"/>
  <c r="I90" i="6" s="1"/>
  <c r="H91" i="6"/>
  <c r="H90" i="6" s="1"/>
  <c r="G91" i="6"/>
  <c r="G90" i="6" s="1"/>
  <c r="F91" i="6"/>
  <c r="F90" i="6" s="1"/>
  <c r="E91" i="6"/>
  <c r="E90" i="6" s="1"/>
  <c r="O86" i="6"/>
  <c r="L86" i="6"/>
  <c r="K86" i="6"/>
  <c r="K85" i="6" s="1"/>
  <c r="K84" i="6" s="1"/>
  <c r="J86" i="6"/>
  <c r="J85" i="6" s="1"/>
  <c r="J84" i="6" s="1"/>
  <c r="I86" i="6"/>
  <c r="G85" i="6"/>
  <c r="G84" i="6" s="1"/>
  <c r="P85" i="6"/>
  <c r="P84" i="6" s="1"/>
  <c r="L85" i="6"/>
  <c r="L84" i="6" s="1"/>
  <c r="H85" i="6"/>
  <c r="H84" i="6" s="1"/>
  <c r="F85" i="6"/>
  <c r="F84" i="6" s="1"/>
  <c r="E85" i="6"/>
  <c r="E84" i="6" s="1"/>
  <c r="L81" i="6"/>
  <c r="L80" i="6" s="1"/>
  <c r="K82" i="6"/>
  <c r="K81" i="6" s="1"/>
  <c r="K80" i="6" s="1"/>
  <c r="J82" i="6"/>
  <c r="J81" i="6" s="1"/>
  <c r="J80" i="6" s="1"/>
  <c r="I82" i="6"/>
  <c r="P81" i="6"/>
  <c r="P80" i="6" s="1"/>
  <c r="N81" i="6"/>
  <c r="N80" i="6" s="1"/>
  <c r="H81" i="6"/>
  <c r="H80" i="6" s="1"/>
  <c r="G81" i="6"/>
  <c r="G80" i="6" s="1"/>
  <c r="F81" i="6"/>
  <c r="F80" i="6" s="1"/>
  <c r="E81" i="6"/>
  <c r="E80" i="6" s="1"/>
  <c r="L78" i="6"/>
  <c r="L74" i="6" s="1"/>
  <c r="K78" i="6"/>
  <c r="M78" i="6" s="1"/>
  <c r="O74" i="6"/>
  <c r="O20" i="6" s="1"/>
  <c r="J74" i="6"/>
  <c r="I74" i="6"/>
  <c r="H73" i="6"/>
  <c r="H72" i="6" s="1"/>
  <c r="G74" i="6"/>
  <c r="G20" i="6" s="1"/>
  <c r="F74" i="6"/>
  <c r="F20" i="6" s="1"/>
  <c r="P73" i="6"/>
  <c r="P72" i="6" s="1"/>
  <c r="E73" i="6"/>
  <c r="E72" i="6" s="1"/>
  <c r="E11" i="6" s="1"/>
  <c r="P47" i="6"/>
  <c r="O47" i="6"/>
  <c r="N47" i="6"/>
  <c r="P45" i="6"/>
  <c r="O45" i="6"/>
  <c r="N45" i="6"/>
  <c r="P42" i="6"/>
  <c r="O42" i="6"/>
  <c r="N42" i="6"/>
  <c r="P40" i="6"/>
  <c r="O40" i="6"/>
  <c r="N40" i="6"/>
  <c r="J26" i="6"/>
  <c r="P36" i="6"/>
  <c r="O36" i="6"/>
  <c r="N36" i="6"/>
  <c r="J23" i="6"/>
  <c r="J22" i="6" s="1"/>
  <c r="H23" i="6"/>
  <c r="P34" i="6"/>
  <c r="O34" i="6"/>
  <c r="N34" i="6"/>
  <c r="P31" i="6"/>
  <c r="O31" i="6"/>
  <c r="N31" i="6"/>
  <c r="L16" i="6"/>
  <c r="J16" i="6"/>
  <c r="H16" i="6"/>
  <c r="P29" i="6"/>
  <c r="P28" i="6" s="1"/>
  <c r="O29" i="6"/>
  <c r="N29" i="6"/>
  <c r="N28" i="6" s="1"/>
  <c r="N25" i="6"/>
  <c r="N21" i="6" s="1"/>
  <c r="Q25" i="6"/>
  <c r="Q21" i="6" s="1"/>
  <c r="L106" i="5"/>
  <c r="R105" i="5"/>
  <c r="R104" i="5" s="1"/>
  <c r="Q105" i="5"/>
  <c r="P105" i="5"/>
  <c r="P104" i="5" s="1"/>
  <c r="O105" i="5"/>
  <c r="N105" i="5"/>
  <c r="N104" i="5" s="1"/>
  <c r="K105" i="5"/>
  <c r="J105" i="5"/>
  <c r="J104" i="5" s="1"/>
  <c r="I105" i="5"/>
  <c r="H105" i="5"/>
  <c r="H104" i="5" s="1"/>
  <c r="G105" i="5"/>
  <c r="F105" i="5"/>
  <c r="F104" i="5" s="1"/>
  <c r="E105" i="5"/>
  <c r="Q104" i="5"/>
  <c r="O104" i="5"/>
  <c r="K104" i="5"/>
  <c r="I104" i="5"/>
  <c r="G104" i="5"/>
  <c r="E104" i="5"/>
  <c r="N81" i="5"/>
  <c r="N80" i="5" s="1"/>
  <c r="D102" i="5"/>
  <c r="K102" i="5"/>
  <c r="K101" i="5" s="1"/>
  <c r="L101" i="5"/>
  <c r="J101" i="5"/>
  <c r="J97" i="5" s="1"/>
  <c r="I101" i="5"/>
  <c r="I97" i="5" s="1"/>
  <c r="E101" i="5"/>
  <c r="N100" i="5"/>
  <c r="N79" i="5" s="1"/>
  <c r="N61" i="5" s="1"/>
  <c r="L100" i="5"/>
  <c r="M100" i="5" s="1"/>
  <c r="D100" i="5" s="1"/>
  <c r="N78" i="5"/>
  <c r="M99" i="5"/>
  <c r="D99" i="5" s="1"/>
  <c r="K99" i="5"/>
  <c r="K98" i="5" s="1"/>
  <c r="R98" i="5"/>
  <c r="Q98" i="5"/>
  <c r="P98" i="5"/>
  <c r="N98" i="5"/>
  <c r="J98" i="5"/>
  <c r="I98" i="5"/>
  <c r="H98" i="5"/>
  <c r="G98" i="5"/>
  <c r="F98" i="5"/>
  <c r="E98" i="5"/>
  <c r="E97" i="5"/>
  <c r="K96" i="5"/>
  <c r="N95" i="5"/>
  <c r="K95" i="5"/>
  <c r="J95" i="5"/>
  <c r="I95" i="5"/>
  <c r="E95" i="5"/>
  <c r="N72" i="5"/>
  <c r="D94" i="5"/>
  <c r="M93" i="5"/>
  <c r="D93" i="5" s="1"/>
  <c r="K93" i="5"/>
  <c r="K92" i="5" s="1"/>
  <c r="K91" i="5" s="1"/>
  <c r="R92" i="5"/>
  <c r="Q92" i="5"/>
  <c r="P92" i="5"/>
  <c r="O92" i="5"/>
  <c r="J92" i="5"/>
  <c r="I92" i="5"/>
  <c r="I91" i="5" s="1"/>
  <c r="H92" i="5"/>
  <c r="G92" i="5"/>
  <c r="F92" i="5"/>
  <c r="E92" i="5"/>
  <c r="J91" i="5"/>
  <c r="E91" i="5"/>
  <c r="D89" i="5"/>
  <c r="K88" i="5"/>
  <c r="J88" i="5"/>
  <c r="K87" i="5"/>
  <c r="R84" i="5"/>
  <c r="Q84" i="5"/>
  <c r="Q83" i="5" s="1"/>
  <c r="P84" i="5"/>
  <c r="O84" i="5"/>
  <c r="O83" i="5" s="1"/>
  <c r="N84" i="5"/>
  <c r="L84" i="5"/>
  <c r="L83" i="5" s="1"/>
  <c r="K84" i="5"/>
  <c r="J84" i="5"/>
  <c r="J83" i="5" s="1"/>
  <c r="H84" i="5"/>
  <c r="G84" i="5"/>
  <c r="G83" i="5" s="1"/>
  <c r="F84" i="5"/>
  <c r="E84" i="5"/>
  <c r="E83" i="5" s="1"/>
  <c r="R83" i="5"/>
  <c r="P83" i="5"/>
  <c r="N83" i="5"/>
  <c r="K83" i="5"/>
  <c r="H83" i="5"/>
  <c r="F83" i="5"/>
  <c r="Q81" i="5"/>
  <c r="N82" i="1" s="1"/>
  <c r="N81" i="1" s="1"/>
  <c r="P81" i="5"/>
  <c r="P80" i="5" s="1"/>
  <c r="O81" i="5"/>
  <c r="L81" i="5"/>
  <c r="L80" i="5" s="1"/>
  <c r="J81" i="5"/>
  <c r="I81" i="5"/>
  <c r="I80" i="5" s="1"/>
  <c r="H81" i="5"/>
  <c r="G81" i="5"/>
  <c r="G80" i="5" s="1"/>
  <c r="F81" i="5"/>
  <c r="E81" i="5"/>
  <c r="E80" i="5" s="1"/>
  <c r="R80" i="5"/>
  <c r="Q80" i="5"/>
  <c r="O80" i="5"/>
  <c r="J80" i="5"/>
  <c r="H80" i="5"/>
  <c r="F80" i="5"/>
  <c r="Q79" i="5"/>
  <c r="Q61" i="5" s="1"/>
  <c r="P79" i="5"/>
  <c r="P61" i="5" s="1"/>
  <c r="O79" i="5"/>
  <c r="O61" i="5" s="1"/>
  <c r="K79" i="5"/>
  <c r="K61" i="5" s="1"/>
  <c r="J79" i="5"/>
  <c r="J61" i="5" s="1"/>
  <c r="I79" i="5"/>
  <c r="I61" i="5" s="1"/>
  <c r="H79" i="5"/>
  <c r="H61" i="5" s="1"/>
  <c r="G79" i="5"/>
  <c r="G61" i="5" s="1"/>
  <c r="F79" i="5"/>
  <c r="F61" i="5" s="1"/>
  <c r="E79" i="5"/>
  <c r="E61" i="5" s="1"/>
  <c r="Q78" i="5"/>
  <c r="P78" i="5"/>
  <c r="O78" i="5"/>
  <c r="J78" i="5"/>
  <c r="I78" i="5"/>
  <c r="H78" i="5"/>
  <c r="H77" i="5" s="1"/>
  <c r="G78" i="5"/>
  <c r="F78" i="5"/>
  <c r="E78" i="5"/>
  <c r="R77" i="5"/>
  <c r="R76" i="5" s="1"/>
  <c r="P75" i="5"/>
  <c r="M73" i="1" s="1"/>
  <c r="O75" i="5"/>
  <c r="N74" i="5"/>
  <c r="L75" i="5"/>
  <c r="L74" i="5" s="1"/>
  <c r="K75" i="5"/>
  <c r="K74" i="5" s="1"/>
  <c r="R74" i="5"/>
  <c r="Q74" i="5"/>
  <c r="O74" i="5"/>
  <c r="Q73" i="5"/>
  <c r="N64" i="1" s="1"/>
  <c r="P73" i="5"/>
  <c r="O73" i="5"/>
  <c r="N73" i="5"/>
  <c r="L73" i="5"/>
  <c r="K73" i="5"/>
  <c r="J73" i="5"/>
  <c r="H73" i="5"/>
  <c r="G73" i="5"/>
  <c r="F73" i="5"/>
  <c r="E73" i="5"/>
  <c r="R72" i="5"/>
  <c r="R70" i="5" s="1"/>
  <c r="R69" i="5" s="1"/>
  <c r="Q72" i="5"/>
  <c r="P72" i="5"/>
  <c r="O72" i="5"/>
  <c r="K72" i="5"/>
  <c r="J72" i="5"/>
  <c r="I72" i="5"/>
  <c r="H72" i="5"/>
  <c r="G72" i="5"/>
  <c r="F72" i="5"/>
  <c r="E72" i="5"/>
  <c r="Q71" i="5"/>
  <c r="P71" i="5"/>
  <c r="O71" i="5"/>
  <c r="N71" i="5"/>
  <c r="K70" i="1" s="1"/>
  <c r="K71" i="5"/>
  <c r="J71" i="5"/>
  <c r="I71" i="5"/>
  <c r="H71" i="5"/>
  <c r="G71" i="5"/>
  <c r="F71" i="5"/>
  <c r="E71" i="5"/>
  <c r="R51" i="5"/>
  <c r="P38" i="10" s="1"/>
  <c r="X68" i="5"/>
  <c r="X66" i="5" s="1"/>
  <c r="E49" i="5"/>
  <c r="D48" i="5" s="1"/>
  <c r="D47" i="5" s="1"/>
  <c r="R48" i="5"/>
  <c r="Q48" i="5"/>
  <c r="Q47" i="5" s="1"/>
  <c r="P48" i="5"/>
  <c r="P47" i="5" s="1"/>
  <c r="O48" i="5"/>
  <c r="O47" i="5" s="1"/>
  <c r="N48" i="5"/>
  <c r="N47" i="5" s="1"/>
  <c r="L48" i="5"/>
  <c r="L47" i="5" s="1"/>
  <c r="K48" i="5"/>
  <c r="K47" i="5" s="1"/>
  <c r="J48" i="5"/>
  <c r="J47" i="5" s="1"/>
  <c r="I48" i="5"/>
  <c r="H48" i="5"/>
  <c r="H47" i="5" s="1"/>
  <c r="G48" i="5"/>
  <c r="G47" i="5" s="1"/>
  <c r="F48" i="5"/>
  <c r="F47" i="5" s="1"/>
  <c r="R47" i="5"/>
  <c r="I47" i="5"/>
  <c r="E46" i="5"/>
  <c r="D45" i="5" s="1"/>
  <c r="D44" i="5" s="1"/>
  <c r="R45" i="5"/>
  <c r="Q45" i="5"/>
  <c r="Q44" i="5" s="1"/>
  <c r="P45" i="5"/>
  <c r="P44" i="5" s="1"/>
  <c r="O45" i="5"/>
  <c r="O44" i="5" s="1"/>
  <c r="X37" i="10" s="1"/>
  <c r="N45" i="5"/>
  <c r="N44" i="5" s="1"/>
  <c r="L45" i="5"/>
  <c r="L44" i="5" s="1"/>
  <c r="K45" i="5"/>
  <c r="K44" i="5" s="1"/>
  <c r="J45" i="5"/>
  <c r="J44" i="5" s="1"/>
  <c r="I45" i="5"/>
  <c r="I44" i="5" s="1"/>
  <c r="H45" i="5"/>
  <c r="H44" i="5" s="1"/>
  <c r="G45" i="5"/>
  <c r="G44" i="5" s="1"/>
  <c r="F45" i="5"/>
  <c r="F44" i="5" s="1"/>
  <c r="N41" i="5"/>
  <c r="L42" i="5"/>
  <c r="E42" i="5"/>
  <c r="E41" i="5" s="1"/>
  <c r="R41" i="5"/>
  <c r="R38" i="5" s="1"/>
  <c r="Q41" i="5"/>
  <c r="Q38" i="5" s="1"/>
  <c r="P41" i="5"/>
  <c r="P38" i="5" s="1"/>
  <c r="O41" i="5"/>
  <c r="O38" i="5" s="1"/>
  <c r="L41" i="5"/>
  <c r="K41" i="5"/>
  <c r="J41" i="5"/>
  <c r="I41" i="5"/>
  <c r="H41" i="5"/>
  <c r="G41" i="5"/>
  <c r="F41" i="5"/>
  <c r="E40" i="5"/>
  <c r="D40" i="5" s="1"/>
  <c r="N39" i="5"/>
  <c r="L39" i="5"/>
  <c r="K39" i="5"/>
  <c r="J39" i="5"/>
  <c r="I39" i="5"/>
  <c r="H39" i="5"/>
  <c r="G39" i="5"/>
  <c r="F39" i="5"/>
  <c r="L37" i="5"/>
  <c r="E37" i="5"/>
  <c r="N36" i="5"/>
  <c r="K36" i="5"/>
  <c r="J36" i="5"/>
  <c r="I36" i="5"/>
  <c r="H36" i="5"/>
  <c r="G36" i="5"/>
  <c r="F36" i="5"/>
  <c r="L35" i="5"/>
  <c r="M35" i="5" s="1"/>
  <c r="D35" i="5" s="1"/>
  <c r="D15" i="5" s="1"/>
  <c r="E35" i="5"/>
  <c r="E34" i="5" s="1"/>
  <c r="N34" i="5"/>
  <c r="K34" i="5"/>
  <c r="J34" i="5"/>
  <c r="I34" i="5"/>
  <c r="H34" i="5"/>
  <c r="G34" i="5"/>
  <c r="F34" i="5"/>
  <c r="E31" i="5"/>
  <c r="E20" i="5" s="1"/>
  <c r="R30" i="5"/>
  <c r="Q30" i="5"/>
  <c r="P30" i="5"/>
  <c r="O30" i="5"/>
  <c r="L30" i="5"/>
  <c r="K30" i="5"/>
  <c r="J30" i="5"/>
  <c r="I30" i="5"/>
  <c r="H30" i="5"/>
  <c r="G30" i="5"/>
  <c r="F30" i="5"/>
  <c r="E29" i="5"/>
  <c r="D29" i="5" s="1"/>
  <c r="R28" i="5"/>
  <c r="Q28" i="5"/>
  <c r="P28" i="5"/>
  <c r="P27" i="5" s="1"/>
  <c r="N37" i="10" s="1"/>
  <c r="O28" i="5"/>
  <c r="N28" i="5"/>
  <c r="L28" i="5"/>
  <c r="K28" i="5"/>
  <c r="J28" i="5"/>
  <c r="I28" i="5"/>
  <c r="H28" i="5"/>
  <c r="G28" i="5"/>
  <c r="F28" i="5"/>
  <c r="R27" i="5"/>
  <c r="P37" i="10" s="1"/>
  <c r="E26" i="5"/>
  <c r="E17" i="5" s="1"/>
  <c r="R25" i="5"/>
  <c r="Q25" i="5"/>
  <c r="P25" i="5"/>
  <c r="O25" i="5"/>
  <c r="N25" i="5"/>
  <c r="L25" i="5"/>
  <c r="K25" i="5"/>
  <c r="J25" i="5"/>
  <c r="I25" i="5"/>
  <c r="H25" i="5"/>
  <c r="G25" i="5"/>
  <c r="F25" i="5"/>
  <c r="E24" i="5"/>
  <c r="D23" i="5" s="1"/>
  <c r="R23" i="5"/>
  <c r="Q23" i="5"/>
  <c r="P23" i="5"/>
  <c r="O23" i="5"/>
  <c r="N23" i="5"/>
  <c r="L23" i="5"/>
  <c r="K23" i="5"/>
  <c r="J23" i="5"/>
  <c r="I23" i="5"/>
  <c r="H23" i="5"/>
  <c r="G23" i="5"/>
  <c r="F23" i="5"/>
  <c r="R19" i="5"/>
  <c r="R18" i="5" s="1"/>
  <c r="Q19" i="5"/>
  <c r="Q18" i="5" s="1"/>
  <c r="P19" i="5"/>
  <c r="P18" i="5" s="1"/>
  <c r="O19" i="5"/>
  <c r="O18" i="5" s="1"/>
  <c r="K19" i="5"/>
  <c r="K18" i="5" s="1"/>
  <c r="J19" i="5"/>
  <c r="J18" i="5" s="1"/>
  <c r="I19" i="5"/>
  <c r="I18" i="5" s="1"/>
  <c r="H19" i="5"/>
  <c r="H18" i="5" s="1"/>
  <c r="G19" i="5"/>
  <c r="G18" i="5" s="1"/>
  <c r="F19" i="5"/>
  <c r="F18" i="5" s="1"/>
  <c r="Q16" i="5"/>
  <c r="P16" i="5"/>
  <c r="K16" i="5"/>
  <c r="J16" i="5"/>
  <c r="I16" i="5"/>
  <c r="H16" i="5"/>
  <c r="G16" i="5"/>
  <c r="F16" i="5"/>
  <c r="R16" i="5"/>
  <c r="R15" i="5"/>
  <c r="Q15" i="5"/>
  <c r="P15" i="5"/>
  <c r="O15" i="5"/>
  <c r="L15" i="5"/>
  <c r="K15" i="5"/>
  <c r="J15" i="5"/>
  <c r="I15" i="5"/>
  <c r="H15" i="5"/>
  <c r="G15" i="5"/>
  <c r="F15" i="5"/>
  <c r="G140" i="4"/>
  <c r="P113" i="4"/>
  <c r="P110" i="4" s="1"/>
  <c r="O113" i="4"/>
  <c r="O110" i="4" s="1"/>
  <c r="N113" i="4"/>
  <c r="L113" i="4"/>
  <c r="L110" i="4" s="1"/>
  <c r="K113" i="4"/>
  <c r="J113" i="4"/>
  <c r="J110" i="4" s="1"/>
  <c r="I113" i="4"/>
  <c r="H113" i="4"/>
  <c r="G113" i="4"/>
  <c r="F113" i="4"/>
  <c r="E113" i="4"/>
  <c r="D113" i="4"/>
  <c r="D110" i="4" s="1"/>
  <c r="N110" i="4"/>
  <c r="K110" i="4"/>
  <c r="I110" i="4"/>
  <c r="H110" i="4"/>
  <c r="G110" i="4"/>
  <c r="F110" i="4"/>
  <c r="E110" i="4"/>
  <c r="E109" i="4"/>
  <c r="O108" i="4"/>
  <c r="N108" i="4"/>
  <c r="L108" i="4"/>
  <c r="K108" i="4"/>
  <c r="J108" i="4"/>
  <c r="I108" i="4"/>
  <c r="H108" i="4"/>
  <c r="G108" i="4"/>
  <c r="F108" i="4"/>
  <c r="E108" i="4"/>
  <c r="N104" i="4"/>
  <c r="L104" i="4"/>
  <c r="K104" i="4"/>
  <c r="J104" i="4"/>
  <c r="J103" i="4" s="1"/>
  <c r="I104" i="4"/>
  <c r="H104" i="4"/>
  <c r="H103" i="4" s="1"/>
  <c r="G104" i="4"/>
  <c r="F104" i="4"/>
  <c r="F103" i="4" s="1"/>
  <c r="E104" i="4"/>
  <c r="K103" i="4"/>
  <c r="G103" i="4"/>
  <c r="P100" i="4"/>
  <c r="O100" i="4"/>
  <c r="N100" i="4"/>
  <c r="L100" i="4"/>
  <c r="K100" i="4"/>
  <c r="J100" i="4"/>
  <c r="I100" i="4"/>
  <c r="H100" i="4"/>
  <c r="G100" i="4"/>
  <c r="F100" i="4"/>
  <c r="E100" i="4"/>
  <c r="D100" i="4"/>
  <c r="P99" i="4"/>
  <c r="O99" i="4"/>
  <c r="N99" i="4"/>
  <c r="L99" i="4"/>
  <c r="K99" i="4"/>
  <c r="J99" i="4"/>
  <c r="I99" i="4"/>
  <c r="H99" i="4"/>
  <c r="G99" i="4"/>
  <c r="F99" i="4"/>
  <c r="E99" i="4"/>
  <c r="D99" i="4"/>
  <c r="E98" i="4"/>
  <c r="P97" i="4"/>
  <c r="O97" i="4"/>
  <c r="N97" i="4"/>
  <c r="L97" i="4"/>
  <c r="K97" i="4"/>
  <c r="J97" i="4"/>
  <c r="I97" i="4"/>
  <c r="H97" i="4"/>
  <c r="G97" i="4"/>
  <c r="F97" i="4"/>
  <c r="D94" i="4"/>
  <c r="P94" i="4"/>
  <c r="O94" i="4"/>
  <c r="N94" i="4"/>
  <c r="L94" i="4"/>
  <c r="K94" i="4"/>
  <c r="J94" i="4"/>
  <c r="I94" i="4"/>
  <c r="H94" i="4"/>
  <c r="G94" i="4"/>
  <c r="F94" i="4"/>
  <c r="E94" i="4"/>
  <c r="O93" i="4"/>
  <c r="J93" i="4"/>
  <c r="L89" i="4"/>
  <c r="K89" i="4"/>
  <c r="K88" i="4" s="1"/>
  <c r="J89" i="4"/>
  <c r="I89" i="4"/>
  <c r="I88" i="4" s="1"/>
  <c r="H89" i="4"/>
  <c r="G89" i="4"/>
  <c r="G88" i="4" s="1"/>
  <c r="F89" i="4"/>
  <c r="E89" i="4"/>
  <c r="E88" i="4" s="1"/>
  <c r="R88" i="4"/>
  <c r="Q88" i="4"/>
  <c r="P88" i="4"/>
  <c r="O88" i="4"/>
  <c r="N88" i="4"/>
  <c r="L88" i="4"/>
  <c r="J88" i="4"/>
  <c r="H88" i="4"/>
  <c r="F88" i="4"/>
  <c r="D88" i="4"/>
  <c r="Q84" i="4"/>
  <c r="Q83" i="4" s="1"/>
  <c r="P84" i="4"/>
  <c r="P83" i="4" s="1"/>
  <c r="N83" i="4"/>
  <c r="L84" i="4"/>
  <c r="L83" i="4" s="1"/>
  <c r="K84" i="4"/>
  <c r="K83" i="4" s="1"/>
  <c r="J84" i="4"/>
  <c r="J83" i="4" s="1"/>
  <c r="I84" i="4"/>
  <c r="I83" i="4" s="1"/>
  <c r="H84" i="4"/>
  <c r="H83" i="4" s="1"/>
  <c r="G84" i="4"/>
  <c r="G83" i="4" s="1"/>
  <c r="F84" i="4"/>
  <c r="F83" i="4" s="1"/>
  <c r="E84" i="4"/>
  <c r="E83" i="4" s="1"/>
  <c r="O83" i="4"/>
  <c r="R79" i="4"/>
  <c r="R78" i="4" s="1"/>
  <c r="Q79" i="4"/>
  <c r="Q78" i="4" s="1"/>
  <c r="P79" i="4"/>
  <c r="P78" i="4" s="1"/>
  <c r="O79" i="4"/>
  <c r="O78" i="4" s="1"/>
  <c r="L79" i="4"/>
  <c r="L78" i="4" s="1"/>
  <c r="K79" i="4"/>
  <c r="K78" i="4" s="1"/>
  <c r="J79" i="4"/>
  <c r="J78" i="4" s="1"/>
  <c r="I79" i="4"/>
  <c r="I78" i="4" s="1"/>
  <c r="H78" i="4"/>
  <c r="G78" i="4"/>
  <c r="F78" i="4"/>
  <c r="N76" i="4"/>
  <c r="M76" i="4" s="1"/>
  <c r="M27" i="4" s="1"/>
  <c r="O75" i="4"/>
  <c r="O24" i="4"/>
  <c r="L76" i="1" s="1"/>
  <c r="N74" i="4"/>
  <c r="M74" i="4" s="1"/>
  <c r="M73" i="4" s="1"/>
  <c r="N72" i="4"/>
  <c r="O21" i="4"/>
  <c r="N71" i="4"/>
  <c r="M71" i="4" s="1"/>
  <c r="O12" i="4"/>
  <c r="N69" i="4"/>
  <c r="M69" i="4" s="1"/>
  <c r="D69" i="4" s="1"/>
  <c r="N68" i="4"/>
  <c r="M68" i="4" s="1"/>
  <c r="N64" i="4"/>
  <c r="M64" i="4" s="1"/>
  <c r="J63" i="4"/>
  <c r="M63" i="4" s="1"/>
  <c r="P62" i="4"/>
  <c r="O62" i="4"/>
  <c r="N62" i="4"/>
  <c r="L62" i="4"/>
  <c r="K62" i="4"/>
  <c r="I62" i="4"/>
  <c r="H62" i="4"/>
  <c r="G62" i="4"/>
  <c r="F62" i="4"/>
  <c r="E62" i="4"/>
  <c r="P61" i="4"/>
  <c r="O61" i="4"/>
  <c r="N61" i="4"/>
  <c r="L61" i="4"/>
  <c r="K61" i="4"/>
  <c r="I61" i="4"/>
  <c r="H61" i="4"/>
  <c r="G61" i="4"/>
  <c r="F61" i="4"/>
  <c r="E61" i="4"/>
  <c r="E60" i="4"/>
  <c r="E59" i="4" s="1"/>
  <c r="N59" i="4"/>
  <c r="L59" i="4"/>
  <c r="K59" i="4"/>
  <c r="J59" i="4"/>
  <c r="I59" i="4"/>
  <c r="H59" i="4"/>
  <c r="G59" i="4"/>
  <c r="F59" i="4"/>
  <c r="D59" i="4"/>
  <c r="N58" i="4"/>
  <c r="M58" i="4" s="1"/>
  <c r="J57" i="4"/>
  <c r="M57" i="4" s="1"/>
  <c r="E56" i="4"/>
  <c r="P54" i="4"/>
  <c r="P53" i="4" s="1"/>
  <c r="O54" i="4"/>
  <c r="L54" i="4"/>
  <c r="K54" i="4"/>
  <c r="J54" i="4"/>
  <c r="I54" i="4"/>
  <c r="H54" i="4"/>
  <c r="G54" i="4"/>
  <c r="F54" i="4"/>
  <c r="O53" i="4"/>
  <c r="N50" i="4"/>
  <c r="L50" i="4"/>
  <c r="L47" i="4" s="1"/>
  <c r="K50" i="4"/>
  <c r="K47" i="4" s="1"/>
  <c r="J50" i="4"/>
  <c r="J47" i="4" s="1"/>
  <c r="I50" i="4"/>
  <c r="I47" i="4" s="1"/>
  <c r="H50" i="4"/>
  <c r="H47" i="4" s="1"/>
  <c r="G50" i="4"/>
  <c r="G47" i="4" s="1"/>
  <c r="F50" i="4"/>
  <c r="F47" i="4" s="1"/>
  <c r="E50" i="4"/>
  <c r="E47" i="4" s="1"/>
  <c r="D50" i="4"/>
  <c r="D48" i="4"/>
  <c r="N48" i="4"/>
  <c r="L48" i="4"/>
  <c r="E46" i="4"/>
  <c r="N45" i="4"/>
  <c r="K45" i="4"/>
  <c r="J45" i="4"/>
  <c r="I45" i="4"/>
  <c r="H45" i="4"/>
  <c r="G45" i="4"/>
  <c r="F45" i="4"/>
  <c r="K43" i="4"/>
  <c r="M43" i="4" s="1"/>
  <c r="L41" i="4"/>
  <c r="L40" i="4" s="1"/>
  <c r="J41" i="4"/>
  <c r="I41" i="4"/>
  <c r="H41" i="4"/>
  <c r="G41" i="4"/>
  <c r="F41" i="4"/>
  <c r="E41" i="4"/>
  <c r="P27" i="4"/>
  <c r="O27" i="4"/>
  <c r="L27" i="4"/>
  <c r="K27" i="4"/>
  <c r="J27" i="4"/>
  <c r="G82" i="1" s="1"/>
  <c r="G81" i="1" s="1"/>
  <c r="I27" i="4"/>
  <c r="F82" i="1" s="1"/>
  <c r="F81" i="1" s="1"/>
  <c r="H27" i="4"/>
  <c r="G27" i="4"/>
  <c r="F27" i="4"/>
  <c r="E27" i="4"/>
  <c r="L26" i="4"/>
  <c r="K26" i="4"/>
  <c r="J26" i="4"/>
  <c r="I26" i="4"/>
  <c r="P25" i="4"/>
  <c r="O25" i="4"/>
  <c r="N25" i="4"/>
  <c r="L25" i="4"/>
  <c r="K25" i="4"/>
  <c r="J25" i="4"/>
  <c r="I25" i="4"/>
  <c r="H25" i="4"/>
  <c r="G25" i="4"/>
  <c r="F25" i="4"/>
  <c r="E25" i="4"/>
  <c r="L24" i="4"/>
  <c r="I76" i="1" s="1"/>
  <c r="K24" i="4"/>
  <c r="H76" i="1" s="1"/>
  <c r="J24" i="4"/>
  <c r="I24" i="4"/>
  <c r="F76" i="1" s="1"/>
  <c r="H24" i="4"/>
  <c r="G24" i="4"/>
  <c r="D76" i="1" s="1"/>
  <c r="F24" i="4"/>
  <c r="E24" i="4"/>
  <c r="B76" i="1" s="1"/>
  <c r="L23" i="4"/>
  <c r="K20" i="4"/>
  <c r="J20" i="4"/>
  <c r="I20" i="4"/>
  <c r="G20" i="4"/>
  <c r="F20" i="4"/>
  <c r="L20" i="4"/>
  <c r="H20" i="4"/>
  <c r="P19" i="4"/>
  <c r="O19" i="4"/>
  <c r="L19" i="4"/>
  <c r="K19" i="4"/>
  <c r="J19" i="4"/>
  <c r="I19" i="4"/>
  <c r="H19" i="4"/>
  <c r="G19" i="4"/>
  <c r="F19" i="4"/>
  <c r="E19" i="4"/>
  <c r="N18" i="4"/>
  <c r="K69" i="1" s="1"/>
  <c r="L18" i="4"/>
  <c r="I69" i="1" s="1"/>
  <c r="K18" i="4"/>
  <c r="H69" i="1" s="1"/>
  <c r="J18" i="4"/>
  <c r="G69" i="1" s="1"/>
  <c r="I18" i="4"/>
  <c r="F69" i="1" s="1"/>
  <c r="H18" i="4"/>
  <c r="E69" i="1" s="1"/>
  <c r="G18" i="4"/>
  <c r="D69" i="1" s="1"/>
  <c r="F18" i="4"/>
  <c r="C69" i="1" s="1"/>
  <c r="E18" i="4"/>
  <c r="B69" i="1" s="1"/>
  <c r="R17" i="4"/>
  <c r="O67" i="1" s="1"/>
  <c r="O122" i="1" s="1"/>
  <c r="O184" i="1" s="1"/>
  <c r="Q17" i="4"/>
  <c r="N67" i="1" s="1"/>
  <c r="N122" i="1" s="1"/>
  <c r="N184" i="1" s="1"/>
  <c r="P17" i="4"/>
  <c r="M67" i="1" s="1"/>
  <c r="M122" i="1" s="1"/>
  <c r="M184" i="1" s="1"/>
  <c r="O17" i="4"/>
  <c r="N17" i="4"/>
  <c r="L17" i="4"/>
  <c r="J17" i="4"/>
  <c r="I17" i="4"/>
  <c r="F67" i="1" s="1"/>
  <c r="F122" i="1" s="1"/>
  <c r="F184" i="1" s="1"/>
  <c r="H17" i="4"/>
  <c r="E67" i="1" s="1"/>
  <c r="E122" i="1" s="1"/>
  <c r="E184" i="1" s="1"/>
  <c r="G17" i="4"/>
  <c r="D67" i="1" s="1"/>
  <c r="D122" i="1" s="1"/>
  <c r="D184" i="1" s="1"/>
  <c r="F17" i="4"/>
  <c r="C67" i="1" s="1"/>
  <c r="C122" i="1" s="1"/>
  <c r="C184" i="1" s="1"/>
  <c r="L16" i="4"/>
  <c r="I66" i="1" s="1"/>
  <c r="K16" i="4"/>
  <c r="H66" i="1" s="1"/>
  <c r="J16" i="4"/>
  <c r="G66" i="1" s="1"/>
  <c r="I16" i="4"/>
  <c r="H16" i="4"/>
  <c r="E66" i="1" s="1"/>
  <c r="G16" i="4"/>
  <c r="D66" i="1" s="1"/>
  <c r="F16" i="4"/>
  <c r="C66" i="1" s="1"/>
  <c r="N15" i="4"/>
  <c r="L15" i="4"/>
  <c r="K15" i="4"/>
  <c r="J15" i="4"/>
  <c r="I15" i="4"/>
  <c r="H15" i="4"/>
  <c r="E64" i="1" s="1"/>
  <c r="G15" i="4"/>
  <c r="F15" i="4"/>
  <c r="C64" i="1" s="1"/>
  <c r="E15" i="4"/>
  <c r="Q14" i="4"/>
  <c r="N11" i="4"/>
  <c r="L11" i="4"/>
  <c r="K11" i="4"/>
  <c r="J11" i="4"/>
  <c r="I11" i="4"/>
  <c r="I10" i="4" s="1"/>
  <c r="H11" i="4"/>
  <c r="G11" i="4"/>
  <c r="G10" i="4" s="1"/>
  <c r="F11" i="4"/>
  <c r="E11" i="4"/>
  <c r="N207" i="3"/>
  <c r="K208" i="3"/>
  <c r="E208" i="3"/>
  <c r="Q207" i="3"/>
  <c r="P207" i="3"/>
  <c r="O207" i="3"/>
  <c r="L207" i="3"/>
  <c r="K207" i="3"/>
  <c r="J207" i="3"/>
  <c r="I207" i="3"/>
  <c r="H207" i="3"/>
  <c r="G207" i="3"/>
  <c r="F207" i="3"/>
  <c r="E206" i="3"/>
  <c r="Q205" i="3"/>
  <c r="P205" i="3"/>
  <c r="P204" i="3" s="1"/>
  <c r="P288" i="6" s="1"/>
  <c r="O205" i="3"/>
  <c r="N205" i="3"/>
  <c r="L205" i="3"/>
  <c r="K205" i="3"/>
  <c r="K204" i="3" s="1"/>
  <c r="J205" i="3"/>
  <c r="I205" i="3"/>
  <c r="I204" i="3" s="1"/>
  <c r="H205" i="3"/>
  <c r="G205" i="3"/>
  <c r="G204" i="3" s="1"/>
  <c r="F205" i="3"/>
  <c r="E205" i="3"/>
  <c r="Q204" i="3"/>
  <c r="Q288" i="6" s="1"/>
  <c r="O204" i="3"/>
  <c r="O288" i="6" s="1"/>
  <c r="E203" i="3"/>
  <c r="M203" i="3" s="1"/>
  <c r="D203" i="3" s="1"/>
  <c r="Q202" i="3"/>
  <c r="P202" i="3"/>
  <c r="O202" i="3"/>
  <c r="N202" i="3"/>
  <c r="L202" i="3"/>
  <c r="K202" i="3"/>
  <c r="J202" i="3"/>
  <c r="I202" i="3"/>
  <c r="H202" i="3"/>
  <c r="G202" i="3"/>
  <c r="F202" i="3"/>
  <c r="E201" i="3"/>
  <c r="M201" i="3" s="1"/>
  <c r="D201" i="3" s="1"/>
  <c r="E200" i="3"/>
  <c r="M200" i="3" s="1"/>
  <c r="D200" i="3" s="1"/>
  <c r="Z200" i="3" s="1"/>
  <c r="Q199" i="3"/>
  <c r="Q198" i="3" s="1"/>
  <c r="Q289" i="6" s="1"/>
  <c r="P199" i="3"/>
  <c r="P198" i="3" s="1"/>
  <c r="P289" i="6" s="1"/>
  <c r="O199" i="3"/>
  <c r="O198" i="3" s="1"/>
  <c r="O289" i="6" s="1"/>
  <c r="N199" i="3"/>
  <c r="N198" i="3" s="1"/>
  <c r="L199" i="3"/>
  <c r="L198" i="3" s="1"/>
  <c r="K199" i="3"/>
  <c r="K198" i="3" s="1"/>
  <c r="J199" i="3"/>
  <c r="J198" i="3" s="1"/>
  <c r="I199" i="3"/>
  <c r="I198" i="3" s="1"/>
  <c r="H199" i="3"/>
  <c r="H198" i="3" s="1"/>
  <c r="G199" i="3"/>
  <c r="G198" i="3" s="1"/>
  <c r="F199" i="3"/>
  <c r="F198" i="3" s="1"/>
  <c r="N196" i="3"/>
  <c r="N195" i="3" s="1"/>
  <c r="L196" i="3"/>
  <c r="K196" i="3"/>
  <c r="E196" i="3"/>
  <c r="Q195" i="3"/>
  <c r="P195" i="3"/>
  <c r="O195" i="3"/>
  <c r="J195" i="3"/>
  <c r="I195" i="3"/>
  <c r="H195" i="3"/>
  <c r="G195" i="3"/>
  <c r="F195" i="3"/>
  <c r="E194" i="3"/>
  <c r="Q193" i="3"/>
  <c r="P193" i="3"/>
  <c r="O193" i="3"/>
  <c r="N193" i="3"/>
  <c r="L193" i="3"/>
  <c r="K193" i="3"/>
  <c r="J193" i="3"/>
  <c r="I193" i="3"/>
  <c r="H193" i="3"/>
  <c r="G193" i="3"/>
  <c r="F193" i="3"/>
  <c r="N191" i="3"/>
  <c r="L191" i="3"/>
  <c r="K191" i="3"/>
  <c r="E191" i="3"/>
  <c r="Q190" i="3"/>
  <c r="P190" i="3"/>
  <c r="O190" i="3"/>
  <c r="J190" i="3"/>
  <c r="I190" i="3"/>
  <c r="H190" i="3"/>
  <c r="G190" i="3"/>
  <c r="F190" i="3"/>
  <c r="E189" i="3"/>
  <c r="D189" i="3" s="1"/>
  <c r="E188" i="3"/>
  <c r="D188" i="3" s="1"/>
  <c r="Q187" i="3"/>
  <c r="P187" i="3"/>
  <c r="P186" i="3" s="1"/>
  <c r="O187" i="3"/>
  <c r="N187" i="3"/>
  <c r="L187" i="3"/>
  <c r="K187" i="3"/>
  <c r="J187" i="3"/>
  <c r="I187" i="3"/>
  <c r="I186" i="3" s="1"/>
  <c r="H187" i="3"/>
  <c r="G187" i="3"/>
  <c r="G186" i="3" s="1"/>
  <c r="F187" i="3"/>
  <c r="P183" i="3"/>
  <c r="P181" i="3"/>
  <c r="Q180" i="3"/>
  <c r="Q178" i="3"/>
  <c r="P178" i="3"/>
  <c r="Q175" i="3"/>
  <c r="P175" i="3"/>
  <c r="Q171" i="3"/>
  <c r="P171" i="3"/>
  <c r="Q169" i="3"/>
  <c r="P169" i="3"/>
  <c r="P166" i="3"/>
  <c r="P163" i="3"/>
  <c r="H21" i="10"/>
  <c r="E21" i="10"/>
  <c r="E136" i="3"/>
  <c r="E135" i="3" s="1"/>
  <c r="P135" i="3"/>
  <c r="O135" i="3"/>
  <c r="N135" i="3"/>
  <c r="L135" i="3"/>
  <c r="K135" i="3"/>
  <c r="J135" i="3"/>
  <c r="I135" i="3"/>
  <c r="H135" i="3"/>
  <c r="G135" i="3"/>
  <c r="F135" i="3"/>
  <c r="E134" i="3"/>
  <c r="D134" i="3" s="1"/>
  <c r="D133" i="3" s="1"/>
  <c r="P133" i="3"/>
  <c r="P132" i="3" s="1"/>
  <c r="O133" i="3"/>
  <c r="N133" i="3"/>
  <c r="N132" i="3" s="1"/>
  <c r="L133" i="3"/>
  <c r="K133" i="3"/>
  <c r="K132" i="3" s="1"/>
  <c r="J133" i="3"/>
  <c r="I133" i="3"/>
  <c r="I132" i="3" s="1"/>
  <c r="H133" i="3"/>
  <c r="G133" i="3"/>
  <c r="G132" i="3" s="1"/>
  <c r="F133" i="3"/>
  <c r="E133" i="3"/>
  <c r="O132" i="3"/>
  <c r="L132" i="3"/>
  <c r="J132" i="3"/>
  <c r="H132" i="3"/>
  <c r="F132" i="3"/>
  <c r="E131" i="3"/>
  <c r="P130" i="3"/>
  <c r="O130" i="3"/>
  <c r="N130" i="3"/>
  <c r="L130" i="3"/>
  <c r="K130" i="3"/>
  <c r="J130" i="3"/>
  <c r="I130" i="3"/>
  <c r="H130" i="3"/>
  <c r="G130" i="3"/>
  <c r="F130" i="3"/>
  <c r="E129" i="3"/>
  <c r="E128" i="3"/>
  <c r="P127" i="3"/>
  <c r="P126" i="3" s="1"/>
  <c r="P10" i="3" s="1"/>
  <c r="O127" i="3"/>
  <c r="N127" i="3"/>
  <c r="K127" i="3"/>
  <c r="J127" i="3"/>
  <c r="I127" i="3"/>
  <c r="H127" i="3"/>
  <c r="G127" i="3"/>
  <c r="F127" i="3"/>
  <c r="K126" i="3"/>
  <c r="K10" i="3" s="1"/>
  <c r="L124" i="3"/>
  <c r="L21" i="3" s="1"/>
  <c r="L20" i="3" s="1"/>
  <c r="J124" i="3"/>
  <c r="I123" i="3"/>
  <c r="H124" i="3"/>
  <c r="H21" i="3" s="1"/>
  <c r="H20" i="3" s="1"/>
  <c r="H17" i="3" s="1"/>
  <c r="G124" i="3"/>
  <c r="G21" i="3" s="1"/>
  <c r="G20" i="3" s="1"/>
  <c r="G17" i="3" s="1"/>
  <c r="F124" i="3"/>
  <c r="F21" i="3" s="1"/>
  <c r="F20" i="3" s="1"/>
  <c r="F17" i="3" s="1"/>
  <c r="P123" i="3"/>
  <c r="N123" i="3"/>
  <c r="K123" i="3"/>
  <c r="H123" i="3"/>
  <c r="J122" i="3"/>
  <c r="J19" i="3" s="1"/>
  <c r="J18" i="3" s="1"/>
  <c r="I122" i="3"/>
  <c r="E122" i="3"/>
  <c r="E121" i="3" s="1"/>
  <c r="P121" i="3"/>
  <c r="O121" i="3"/>
  <c r="N121" i="3"/>
  <c r="L121" i="3"/>
  <c r="K121" i="3"/>
  <c r="H121" i="3"/>
  <c r="H120" i="3" s="1"/>
  <c r="G121" i="3"/>
  <c r="F121" i="3"/>
  <c r="O16" i="3"/>
  <c r="O15" i="3" s="1"/>
  <c r="O11" i="3" s="1"/>
  <c r="L119" i="3"/>
  <c r="J119" i="3"/>
  <c r="J16" i="3" s="1"/>
  <c r="J15" i="3" s="1"/>
  <c r="I118" i="3"/>
  <c r="H119" i="3"/>
  <c r="H16" i="3" s="1"/>
  <c r="H15" i="3" s="1"/>
  <c r="G119" i="3"/>
  <c r="G16" i="3" s="1"/>
  <c r="G15" i="3" s="1"/>
  <c r="F119" i="3"/>
  <c r="F16" i="3" s="1"/>
  <c r="F15" i="3" s="1"/>
  <c r="P118" i="3"/>
  <c r="N118" i="3"/>
  <c r="K118" i="3"/>
  <c r="J118" i="3"/>
  <c r="F118" i="3"/>
  <c r="J117" i="3"/>
  <c r="J14" i="3" s="1"/>
  <c r="I117" i="3"/>
  <c r="I14" i="3" s="1"/>
  <c r="I12" i="3" s="1"/>
  <c r="I11" i="3" s="1"/>
  <c r="E117" i="3"/>
  <c r="O115" i="3"/>
  <c r="L116" i="3"/>
  <c r="J116" i="3"/>
  <c r="J12" i="3" s="1"/>
  <c r="J11" i="3" s="1"/>
  <c r="H116" i="3"/>
  <c r="H12" i="3" s="1"/>
  <c r="H11" i="3" s="1"/>
  <c r="G116" i="3"/>
  <c r="G12" i="3" s="1"/>
  <c r="G11" i="3" s="1"/>
  <c r="F116" i="3"/>
  <c r="F12" i="3" s="1"/>
  <c r="F11" i="3" s="1"/>
  <c r="P115" i="3"/>
  <c r="N115" i="3"/>
  <c r="N114" i="3" s="1"/>
  <c r="K115" i="3"/>
  <c r="G115" i="3"/>
  <c r="E112" i="3"/>
  <c r="P111" i="3"/>
  <c r="O111" i="3"/>
  <c r="N111" i="3"/>
  <c r="L111" i="3"/>
  <c r="K111" i="3"/>
  <c r="J111" i="3"/>
  <c r="H111" i="3"/>
  <c r="G111" i="3"/>
  <c r="F111" i="3"/>
  <c r="E111" i="3"/>
  <c r="J109" i="3"/>
  <c r="E110" i="3"/>
  <c r="P109" i="3"/>
  <c r="O109" i="3"/>
  <c r="N109" i="3"/>
  <c r="N108" i="3" s="1"/>
  <c r="L109" i="3"/>
  <c r="K109" i="3"/>
  <c r="K108" i="3" s="1"/>
  <c r="I109" i="3"/>
  <c r="H109" i="3"/>
  <c r="G109" i="3"/>
  <c r="G108" i="3" s="1"/>
  <c r="F109" i="3"/>
  <c r="E109" i="3"/>
  <c r="E108" i="3" s="1"/>
  <c r="P108" i="3"/>
  <c r="J106" i="3"/>
  <c r="E107" i="3"/>
  <c r="P106" i="3"/>
  <c r="O106" i="3"/>
  <c r="N106" i="3"/>
  <c r="L106" i="3"/>
  <c r="K106" i="3"/>
  <c r="I106" i="3"/>
  <c r="H106" i="3"/>
  <c r="G106" i="3"/>
  <c r="F106" i="3"/>
  <c r="I103" i="3"/>
  <c r="E105" i="3"/>
  <c r="E104" i="3"/>
  <c r="D104" i="3" s="1"/>
  <c r="P103" i="3"/>
  <c r="O103" i="3"/>
  <c r="N103" i="3"/>
  <c r="K103" i="3"/>
  <c r="K102" i="3" s="1"/>
  <c r="J103" i="3"/>
  <c r="H103" i="3"/>
  <c r="H102" i="3" s="1"/>
  <c r="G103" i="3"/>
  <c r="F103" i="3"/>
  <c r="F102" i="3" s="1"/>
  <c r="Q99" i="3"/>
  <c r="Q97" i="3"/>
  <c r="Q96" i="3" s="1"/>
  <c r="Q94" i="3"/>
  <c r="Q91" i="3"/>
  <c r="Q87" i="3"/>
  <c r="P87" i="3"/>
  <c r="O87" i="3"/>
  <c r="N87" i="3"/>
  <c r="L87" i="3"/>
  <c r="D87" i="3"/>
  <c r="N85" i="3"/>
  <c r="L86" i="3"/>
  <c r="Q85" i="3"/>
  <c r="Q84" i="3" s="1"/>
  <c r="P85" i="3"/>
  <c r="O85" i="3"/>
  <c r="O84" i="3" s="1"/>
  <c r="L83" i="3"/>
  <c r="M83" i="3" s="1"/>
  <c r="D83" i="3" s="1"/>
  <c r="Q82" i="3"/>
  <c r="P82" i="3"/>
  <c r="O82" i="3"/>
  <c r="L81" i="3"/>
  <c r="L80" i="3"/>
  <c r="M80" i="3" s="1"/>
  <c r="D80" i="3" s="1"/>
  <c r="Q79" i="3"/>
  <c r="P79" i="3"/>
  <c r="O79" i="3"/>
  <c r="N79" i="3"/>
  <c r="O78" i="3"/>
  <c r="O75" i="3"/>
  <c r="N76" i="3"/>
  <c r="P75" i="3"/>
  <c r="L75" i="3"/>
  <c r="K75" i="3"/>
  <c r="J75" i="3"/>
  <c r="I75" i="3"/>
  <c r="H75" i="3"/>
  <c r="G75" i="3"/>
  <c r="F75" i="3"/>
  <c r="E75" i="3"/>
  <c r="O73" i="3"/>
  <c r="N73" i="3"/>
  <c r="L74" i="3"/>
  <c r="M74" i="3" s="1"/>
  <c r="D74" i="3" s="1"/>
  <c r="P73" i="3"/>
  <c r="P72" i="3" s="1"/>
  <c r="L73" i="3"/>
  <c r="L72" i="3" s="1"/>
  <c r="K73" i="3"/>
  <c r="J73" i="3"/>
  <c r="J72" i="3" s="1"/>
  <c r="I73" i="3"/>
  <c r="I72" i="3" s="1"/>
  <c r="H73" i="3"/>
  <c r="H72" i="3" s="1"/>
  <c r="G73" i="3"/>
  <c r="F73" i="3"/>
  <c r="F72" i="3" s="1"/>
  <c r="E73" i="3"/>
  <c r="E72" i="3" s="1"/>
  <c r="K72" i="3"/>
  <c r="G72" i="3"/>
  <c r="N70" i="3"/>
  <c r="L71" i="3"/>
  <c r="M71" i="3" s="1"/>
  <c r="D71" i="3" s="1"/>
  <c r="P70" i="3"/>
  <c r="L70" i="3"/>
  <c r="K70" i="3"/>
  <c r="J70" i="3"/>
  <c r="I70" i="3"/>
  <c r="H70" i="3"/>
  <c r="G70" i="3"/>
  <c r="F70" i="3"/>
  <c r="E70" i="3"/>
  <c r="L69" i="3"/>
  <c r="M69" i="3" s="1"/>
  <c r="D69" i="3" s="1"/>
  <c r="L68" i="3"/>
  <c r="M68" i="3" s="1"/>
  <c r="D68" i="3" s="1"/>
  <c r="P67" i="3"/>
  <c r="O67" i="3"/>
  <c r="K67" i="3"/>
  <c r="J67" i="3"/>
  <c r="I67" i="3"/>
  <c r="H67" i="3"/>
  <c r="G67" i="3"/>
  <c r="F67" i="3"/>
  <c r="E67" i="3"/>
  <c r="N64" i="3"/>
  <c r="N21" i="3" s="1"/>
  <c r="N20" i="3" s="1"/>
  <c r="N17" i="3" s="1"/>
  <c r="I63" i="3"/>
  <c r="E64" i="3"/>
  <c r="E63" i="3" s="1"/>
  <c r="P63" i="3"/>
  <c r="O63" i="3"/>
  <c r="L63" i="3"/>
  <c r="H63" i="3"/>
  <c r="G63" i="3"/>
  <c r="F63" i="3"/>
  <c r="N61" i="3"/>
  <c r="J61" i="3"/>
  <c r="E62" i="3"/>
  <c r="E19" i="3" s="1"/>
  <c r="E18" i="3" s="1"/>
  <c r="P61" i="3"/>
  <c r="O61" i="3"/>
  <c r="L61" i="3"/>
  <c r="K61" i="3"/>
  <c r="H61" i="3"/>
  <c r="H60" i="3" s="1"/>
  <c r="G61" i="3"/>
  <c r="F61" i="3"/>
  <c r="F60" i="3" s="1"/>
  <c r="N58" i="3"/>
  <c r="I58" i="3"/>
  <c r="E59" i="3"/>
  <c r="E58" i="3" s="1"/>
  <c r="P58" i="3"/>
  <c r="O58" i="3"/>
  <c r="L58" i="3"/>
  <c r="K58" i="3"/>
  <c r="J58" i="3"/>
  <c r="H58" i="3"/>
  <c r="G58" i="3"/>
  <c r="F58" i="3"/>
  <c r="E57" i="3"/>
  <c r="E14" i="3" s="1"/>
  <c r="E56" i="3"/>
  <c r="P55" i="3"/>
  <c r="O55" i="3"/>
  <c r="L55" i="3"/>
  <c r="K55" i="3"/>
  <c r="J55" i="3"/>
  <c r="H55" i="3"/>
  <c r="G55" i="3"/>
  <c r="F55" i="3"/>
  <c r="L51" i="3"/>
  <c r="K51" i="3"/>
  <c r="J51" i="3"/>
  <c r="H51" i="3"/>
  <c r="G51" i="3"/>
  <c r="F51" i="3"/>
  <c r="E51" i="3"/>
  <c r="M50" i="3"/>
  <c r="L49" i="3"/>
  <c r="K49" i="3"/>
  <c r="J49" i="3"/>
  <c r="H49" i="3"/>
  <c r="H48" i="3" s="1"/>
  <c r="G49" i="3"/>
  <c r="F49" i="3"/>
  <c r="E49" i="3"/>
  <c r="F48" i="3"/>
  <c r="N46" i="3"/>
  <c r="L46" i="3"/>
  <c r="K46" i="3"/>
  <c r="J46" i="3"/>
  <c r="I46" i="3"/>
  <c r="H46" i="3"/>
  <c r="G46" i="3"/>
  <c r="F46" i="3"/>
  <c r="E46" i="3"/>
  <c r="E44" i="3"/>
  <c r="L43" i="3"/>
  <c r="K43" i="3"/>
  <c r="J43" i="3"/>
  <c r="H43" i="3"/>
  <c r="H42" i="3" s="1"/>
  <c r="G43" i="3"/>
  <c r="F43" i="3"/>
  <c r="F42" i="3" s="1"/>
  <c r="Z42" i="3"/>
  <c r="L39" i="3"/>
  <c r="K39" i="3"/>
  <c r="J39" i="3"/>
  <c r="I39" i="3"/>
  <c r="H39" i="3"/>
  <c r="G39" i="3"/>
  <c r="F39" i="3"/>
  <c r="E39" i="3"/>
  <c r="O37" i="3"/>
  <c r="N37" i="3"/>
  <c r="L37" i="3"/>
  <c r="K37" i="3"/>
  <c r="K36" i="3" s="1"/>
  <c r="J37" i="3"/>
  <c r="I37" i="3"/>
  <c r="I36" i="3" s="1"/>
  <c r="H37" i="3"/>
  <c r="G37" i="3"/>
  <c r="G36" i="3" s="1"/>
  <c r="F37" i="3"/>
  <c r="E37" i="3"/>
  <c r="E36" i="3" s="1"/>
  <c r="H36" i="3"/>
  <c r="O34" i="3"/>
  <c r="L34" i="3"/>
  <c r="K34" i="3"/>
  <c r="J34" i="3"/>
  <c r="I34" i="3"/>
  <c r="H34" i="3"/>
  <c r="G34" i="3"/>
  <c r="F34" i="3"/>
  <c r="E34" i="3"/>
  <c r="E32" i="3"/>
  <c r="M32" i="3" s="1"/>
  <c r="O31" i="3"/>
  <c r="L31" i="3"/>
  <c r="K31" i="3"/>
  <c r="K30" i="3" s="1"/>
  <c r="J31" i="3"/>
  <c r="I31" i="3"/>
  <c r="I30" i="3" s="1"/>
  <c r="H31" i="3"/>
  <c r="G31" i="3"/>
  <c r="G30" i="3" s="1"/>
  <c r="F31" i="3"/>
  <c r="O30" i="3"/>
  <c r="Z30" i="3" s="1"/>
  <c r="E28" i="3"/>
  <c r="P27" i="3"/>
  <c r="P26" i="3" s="1"/>
  <c r="O27" i="3"/>
  <c r="O26" i="3" s="1"/>
  <c r="N27" i="3"/>
  <c r="N26" i="3" s="1"/>
  <c r="L27" i="3"/>
  <c r="L26" i="3" s="1"/>
  <c r="K27" i="3"/>
  <c r="K26" i="3" s="1"/>
  <c r="J27" i="3"/>
  <c r="J26" i="3" s="1"/>
  <c r="I27" i="3"/>
  <c r="I26" i="3" s="1"/>
  <c r="H27" i="3"/>
  <c r="H26" i="3" s="1"/>
  <c r="G27" i="3"/>
  <c r="G26" i="3" s="1"/>
  <c r="F27" i="3"/>
  <c r="F26" i="3"/>
  <c r="L25" i="3"/>
  <c r="E25" i="3"/>
  <c r="E24" i="3" s="1"/>
  <c r="E23" i="3" s="1"/>
  <c r="P24" i="3"/>
  <c r="P23" i="3" s="1"/>
  <c r="O24" i="3"/>
  <c r="O23" i="3" s="1"/>
  <c r="N24" i="3"/>
  <c r="N23" i="3" s="1"/>
  <c r="K24" i="3"/>
  <c r="K23" i="3" s="1"/>
  <c r="J24" i="3"/>
  <c r="J23" i="3" s="1"/>
  <c r="I24" i="3"/>
  <c r="I23" i="3" s="1"/>
  <c r="H24" i="3"/>
  <c r="H23" i="3" s="1"/>
  <c r="G24" i="3"/>
  <c r="G23" i="3" s="1"/>
  <c r="F24" i="3"/>
  <c r="F23" i="3" s="1"/>
  <c r="R536" i="2"/>
  <c r="R535" i="2" s="1"/>
  <c r="Q536" i="2"/>
  <c r="P536" i="2"/>
  <c r="P535" i="2" s="1"/>
  <c r="O536" i="2"/>
  <c r="O535" i="2" s="1"/>
  <c r="N536" i="2"/>
  <c r="N535" i="2" s="1"/>
  <c r="L536" i="2"/>
  <c r="L535" i="2" s="1"/>
  <c r="D536" i="2"/>
  <c r="D535" i="2" s="1"/>
  <c r="Q535" i="2"/>
  <c r="N532" i="2"/>
  <c r="N531" i="2" s="1"/>
  <c r="L533" i="2"/>
  <c r="R532" i="2"/>
  <c r="R531" i="2" s="1"/>
  <c r="Q532" i="2"/>
  <c r="Q531" i="2" s="1"/>
  <c r="P532" i="2"/>
  <c r="P531" i="2" s="1"/>
  <c r="O532" i="2"/>
  <c r="O531" i="2" s="1"/>
  <c r="Q523" i="2"/>
  <c r="L525" i="2"/>
  <c r="L524" i="2" s="1"/>
  <c r="K525" i="2"/>
  <c r="R523" i="2"/>
  <c r="P523" i="2"/>
  <c r="N523" i="2"/>
  <c r="J523" i="2"/>
  <c r="R515" i="2"/>
  <c r="P515" i="2"/>
  <c r="L517" i="2"/>
  <c r="L516" i="2" s="1"/>
  <c r="K517" i="2"/>
  <c r="J517" i="2"/>
  <c r="Q515" i="2"/>
  <c r="L515" i="2"/>
  <c r="M513" i="2"/>
  <c r="Z511" i="2"/>
  <c r="L509" i="2"/>
  <c r="M509" i="2" s="1"/>
  <c r="D509" i="2" s="1"/>
  <c r="P506" i="2"/>
  <c r="M101" i="1" s="1"/>
  <c r="O506" i="2"/>
  <c r="N506" i="2"/>
  <c r="H506" i="2"/>
  <c r="E101" i="1" s="1"/>
  <c r="G506" i="2"/>
  <c r="D101" i="1" s="1"/>
  <c r="F506" i="2"/>
  <c r="C101" i="1" s="1"/>
  <c r="Q506" i="2"/>
  <c r="N101" i="1" s="1"/>
  <c r="L505" i="2"/>
  <c r="M505" i="2" s="1"/>
  <c r="D505" i="2" s="1"/>
  <c r="L504" i="2"/>
  <c r="M504" i="2" s="1"/>
  <c r="D504" i="2" s="1"/>
  <c r="R503" i="2"/>
  <c r="R502" i="2" s="1"/>
  <c r="Q503" i="2"/>
  <c r="Q502" i="2" s="1"/>
  <c r="N503" i="2"/>
  <c r="N502" i="2" s="1"/>
  <c r="L500" i="2"/>
  <c r="L499" i="2" s="1"/>
  <c r="L498" i="2" s="1"/>
  <c r="K500" i="2"/>
  <c r="K499" i="2" s="1"/>
  <c r="K498" i="2" s="1"/>
  <c r="J500" i="2"/>
  <c r="R499" i="2"/>
  <c r="R498" i="2" s="1"/>
  <c r="Q499" i="2"/>
  <c r="Q498" i="2" s="1"/>
  <c r="P499" i="2"/>
  <c r="P498" i="2" s="1"/>
  <c r="O499" i="2"/>
  <c r="O498" i="2" s="1"/>
  <c r="D491" i="2"/>
  <c r="D490" i="2" s="1"/>
  <c r="N491" i="2"/>
  <c r="N490" i="2" s="1"/>
  <c r="L491" i="2"/>
  <c r="L490" i="2" s="1"/>
  <c r="K491" i="2"/>
  <c r="K490" i="2" s="1"/>
  <c r="J491" i="2"/>
  <c r="J490" i="2" s="1"/>
  <c r="I491" i="2"/>
  <c r="I490" i="2" s="1"/>
  <c r="H491" i="2"/>
  <c r="H490" i="2" s="1"/>
  <c r="G491" i="2"/>
  <c r="G490" i="2" s="1"/>
  <c r="F491" i="2"/>
  <c r="F490" i="2" s="1"/>
  <c r="E491" i="2"/>
  <c r="E490" i="2" s="1"/>
  <c r="L488" i="2"/>
  <c r="L487" i="2" s="1"/>
  <c r="L486" i="2" s="1"/>
  <c r="J488" i="2"/>
  <c r="E488" i="2"/>
  <c r="N487" i="2"/>
  <c r="N486" i="2" s="1"/>
  <c r="K487" i="2"/>
  <c r="K486" i="2" s="1"/>
  <c r="I487" i="2"/>
  <c r="I486" i="2" s="1"/>
  <c r="H487" i="2"/>
  <c r="H486" i="2" s="1"/>
  <c r="G487" i="2"/>
  <c r="G486" i="2" s="1"/>
  <c r="F487" i="2"/>
  <c r="F486" i="2" s="1"/>
  <c r="N483" i="2"/>
  <c r="N482" i="2" s="1"/>
  <c r="L484" i="2"/>
  <c r="I484" i="2"/>
  <c r="I483" i="2" s="1"/>
  <c r="I482" i="2" s="1"/>
  <c r="E484" i="2"/>
  <c r="P483" i="2"/>
  <c r="P482" i="2" s="1"/>
  <c r="O483" i="2"/>
  <c r="O482" i="2" s="1"/>
  <c r="K483" i="2"/>
  <c r="K482" i="2" s="1"/>
  <c r="J483" i="2"/>
  <c r="J482" i="2" s="1"/>
  <c r="H483" i="2"/>
  <c r="H482" i="2" s="1"/>
  <c r="G483" i="2"/>
  <c r="G482" i="2" s="1"/>
  <c r="F483" i="2"/>
  <c r="F482" i="2" s="1"/>
  <c r="D479" i="2"/>
  <c r="D478" i="2" s="1"/>
  <c r="I479" i="2"/>
  <c r="I478" i="2" s="1"/>
  <c r="H479" i="2"/>
  <c r="H478" i="2" s="1"/>
  <c r="G479" i="2"/>
  <c r="G478" i="2" s="1"/>
  <c r="F479" i="2"/>
  <c r="F478" i="2" s="1"/>
  <c r="E479" i="2"/>
  <c r="E478" i="2" s="1"/>
  <c r="I476" i="2"/>
  <c r="E476" i="2"/>
  <c r="H475" i="2"/>
  <c r="H474" i="2" s="1"/>
  <c r="G475" i="2"/>
  <c r="G474" i="2" s="1"/>
  <c r="F475" i="2"/>
  <c r="F474" i="2" s="1"/>
  <c r="L468" i="2"/>
  <c r="K468" i="2"/>
  <c r="E468" i="2"/>
  <c r="R467" i="2"/>
  <c r="R466" i="2" s="1"/>
  <c r="Q467" i="2"/>
  <c r="Q466" i="2" s="1"/>
  <c r="P467" i="2"/>
  <c r="P466" i="2" s="1"/>
  <c r="O467" i="2"/>
  <c r="O466" i="2" s="1"/>
  <c r="J467" i="2"/>
  <c r="J466" i="2" s="1"/>
  <c r="I467" i="2"/>
  <c r="I466" i="2" s="1"/>
  <c r="H467" i="2"/>
  <c r="H466" i="2" s="1"/>
  <c r="G467" i="2"/>
  <c r="G466" i="2" s="1"/>
  <c r="F467" i="2"/>
  <c r="F466" i="2" s="1"/>
  <c r="R463" i="2"/>
  <c r="R462" i="2" s="1"/>
  <c r="Q463" i="2"/>
  <c r="O463" i="2"/>
  <c r="O462" i="2" s="1"/>
  <c r="N463" i="2"/>
  <c r="N462" i="2" s="1"/>
  <c r="L463" i="2"/>
  <c r="L462" i="2" s="1"/>
  <c r="K463" i="2"/>
  <c r="K462" i="2" s="1"/>
  <c r="J463" i="2"/>
  <c r="J462" i="2" s="1"/>
  <c r="Q462" i="2"/>
  <c r="E460" i="2"/>
  <c r="M460" i="2" s="1"/>
  <c r="D460" i="2" s="1"/>
  <c r="P459" i="2"/>
  <c r="P458" i="2" s="1"/>
  <c r="O459" i="2"/>
  <c r="O458" i="2" s="1"/>
  <c r="N459" i="2"/>
  <c r="N458" i="2" s="1"/>
  <c r="L459" i="2"/>
  <c r="L458" i="2" s="1"/>
  <c r="K459" i="2"/>
  <c r="K458" i="2" s="1"/>
  <c r="J459" i="2"/>
  <c r="J458" i="2" s="1"/>
  <c r="I459" i="2"/>
  <c r="I458" i="2" s="1"/>
  <c r="H459" i="2"/>
  <c r="H458" i="2" s="1"/>
  <c r="G459" i="2"/>
  <c r="G458" i="2" s="1"/>
  <c r="F459" i="2"/>
  <c r="F458" i="2" s="1"/>
  <c r="E457" i="2"/>
  <c r="M457" i="2" s="1"/>
  <c r="D457" i="2" s="1"/>
  <c r="N456" i="2"/>
  <c r="E456" i="2"/>
  <c r="P455" i="2"/>
  <c r="L455" i="2"/>
  <c r="L454" i="2" s="1"/>
  <c r="K455" i="2"/>
  <c r="K454" i="2" s="1"/>
  <c r="J455" i="2"/>
  <c r="J454" i="2" s="1"/>
  <c r="I455" i="2"/>
  <c r="I454" i="2" s="1"/>
  <c r="H455" i="2"/>
  <c r="H454" i="2" s="1"/>
  <c r="G455" i="2"/>
  <c r="G454" i="2" s="1"/>
  <c r="F455" i="2"/>
  <c r="F454" i="2" s="1"/>
  <c r="P454" i="2"/>
  <c r="R447" i="2"/>
  <c r="R446" i="2" s="1"/>
  <c r="Q447" i="2"/>
  <c r="Q446" i="2" s="1"/>
  <c r="P447" i="2"/>
  <c r="P446" i="2" s="1"/>
  <c r="L447" i="2"/>
  <c r="L446" i="2" s="1"/>
  <c r="K447" i="2"/>
  <c r="J447" i="2"/>
  <c r="J446" i="2" s="1"/>
  <c r="I447" i="2"/>
  <c r="I446" i="2" s="1"/>
  <c r="H447" i="2"/>
  <c r="H446" i="2" s="1"/>
  <c r="H431" i="2" s="1"/>
  <c r="G447" i="2"/>
  <c r="G446" i="2" s="1"/>
  <c r="G431" i="2" s="1"/>
  <c r="F447" i="2"/>
  <c r="F446" i="2" s="1"/>
  <c r="F431" i="2" s="1"/>
  <c r="E447" i="2"/>
  <c r="E446" i="2" s="1"/>
  <c r="E431" i="2" s="1"/>
  <c r="N446" i="2"/>
  <c r="K446" i="2"/>
  <c r="R443" i="2"/>
  <c r="O77" i="1" s="1"/>
  <c r="O75" i="1" s="1"/>
  <c r="O74" i="1" s="1"/>
  <c r="O85" i="1" s="1"/>
  <c r="Q443" i="2"/>
  <c r="N77" i="1" s="1"/>
  <c r="P443" i="2"/>
  <c r="M77" i="1" s="1"/>
  <c r="O443" i="2"/>
  <c r="L77" i="1" s="1"/>
  <c r="N443" i="2"/>
  <c r="L443" i="2"/>
  <c r="I77" i="1" s="1"/>
  <c r="K443" i="2"/>
  <c r="H77" i="1" s="1"/>
  <c r="J443" i="2"/>
  <c r="G77" i="1" s="1"/>
  <c r="I443" i="2"/>
  <c r="F77" i="1" s="1"/>
  <c r="H443" i="2"/>
  <c r="E77" i="1" s="1"/>
  <c r="G443" i="2"/>
  <c r="D77" i="1" s="1"/>
  <c r="F443" i="2"/>
  <c r="C77" i="1" s="1"/>
  <c r="R437" i="2"/>
  <c r="O68" i="1" s="1"/>
  <c r="Q437" i="2"/>
  <c r="N68" i="1" s="1"/>
  <c r="P437" i="2"/>
  <c r="M68" i="1" s="1"/>
  <c r="O437" i="2"/>
  <c r="N437" i="2"/>
  <c r="K437" i="2"/>
  <c r="H68" i="1" s="1"/>
  <c r="J437" i="2"/>
  <c r="G68" i="1" s="1"/>
  <c r="I437" i="2"/>
  <c r="F68" i="1" s="1"/>
  <c r="H437" i="2"/>
  <c r="E68" i="1" s="1"/>
  <c r="G437" i="2"/>
  <c r="D68" i="1" s="1"/>
  <c r="F437" i="2"/>
  <c r="C68" i="1" s="1"/>
  <c r="I431" i="2"/>
  <c r="R427" i="2"/>
  <c r="Q427" i="2"/>
  <c r="Q426" i="2" s="1"/>
  <c r="P427" i="2"/>
  <c r="P426" i="2" s="1"/>
  <c r="O427" i="2"/>
  <c r="O426" i="2" s="1"/>
  <c r="R426" i="2"/>
  <c r="R424" i="2"/>
  <c r="Q424" i="2"/>
  <c r="P424" i="2"/>
  <c r="O424" i="2"/>
  <c r="N424" i="2"/>
  <c r="N423" i="2"/>
  <c r="M423" i="2" s="1"/>
  <c r="R422" i="2"/>
  <c r="Q422" i="2"/>
  <c r="P422" i="2"/>
  <c r="Q419" i="2"/>
  <c r="Q418" i="2" s="1"/>
  <c r="Q417" i="2" s="1"/>
  <c r="P419" i="2"/>
  <c r="P418" i="2" s="1"/>
  <c r="P417" i="2" s="1"/>
  <c r="O419" i="2"/>
  <c r="O418" i="2" s="1"/>
  <c r="O417" i="2" s="1"/>
  <c r="Q416" i="2"/>
  <c r="Q415" i="2" s="1"/>
  <c r="P416" i="2"/>
  <c r="O416" i="2"/>
  <c r="N416" i="2"/>
  <c r="N20" i="2" s="1"/>
  <c r="Q414" i="2"/>
  <c r="Q413" i="2" s="1"/>
  <c r="P414" i="2"/>
  <c r="O410" i="2"/>
  <c r="O409" i="2" s="1"/>
  <c r="O408" i="2" s="1"/>
  <c r="N410" i="2"/>
  <c r="N409" i="2" s="1"/>
  <c r="N408" i="2" s="1"/>
  <c r="E410" i="2"/>
  <c r="P409" i="2"/>
  <c r="P408" i="2" s="1"/>
  <c r="L409" i="2"/>
  <c r="L408" i="2" s="1"/>
  <c r="K409" i="2"/>
  <c r="K408" i="2" s="1"/>
  <c r="J409" i="2"/>
  <c r="J408" i="2" s="1"/>
  <c r="I409" i="2"/>
  <c r="I408" i="2" s="1"/>
  <c r="H409" i="2"/>
  <c r="H408" i="2" s="1"/>
  <c r="G409" i="2"/>
  <c r="G408" i="2" s="1"/>
  <c r="F409" i="2"/>
  <c r="F408" i="2" s="1"/>
  <c r="O407" i="2"/>
  <c r="N407" i="2"/>
  <c r="N406" i="2" s="1"/>
  <c r="I407" i="2"/>
  <c r="I375" i="2" s="1"/>
  <c r="E407" i="2"/>
  <c r="P406" i="2"/>
  <c r="L406" i="2"/>
  <c r="K406" i="2"/>
  <c r="J406" i="2"/>
  <c r="I406" i="2"/>
  <c r="H406" i="2"/>
  <c r="G406" i="2"/>
  <c r="F406" i="2"/>
  <c r="O405" i="2"/>
  <c r="N405" i="2"/>
  <c r="I405" i="2"/>
  <c r="E405" i="2"/>
  <c r="P404" i="2"/>
  <c r="P403" i="2" s="1"/>
  <c r="N404" i="2"/>
  <c r="L404" i="2"/>
  <c r="K404" i="2"/>
  <c r="J404" i="2"/>
  <c r="H404" i="2"/>
  <c r="H403" i="2" s="1"/>
  <c r="G404" i="2"/>
  <c r="F404" i="2"/>
  <c r="F403" i="2" s="1"/>
  <c r="N400" i="2"/>
  <c r="N398" i="2" s="1"/>
  <c r="L400" i="2"/>
  <c r="D399" i="2"/>
  <c r="K398" i="2"/>
  <c r="J398" i="2"/>
  <c r="I398" i="2"/>
  <c r="H398" i="2"/>
  <c r="G398" i="2"/>
  <c r="F398" i="2"/>
  <c r="E398" i="2"/>
  <c r="N397" i="2"/>
  <c r="N394" i="2" s="1"/>
  <c r="L397" i="2"/>
  <c r="P394" i="2"/>
  <c r="O394" i="2"/>
  <c r="O393" i="2" s="1"/>
  <c r="K394" i="2"/>
  <c r="J394" i="2"/>
  <c r="I394" i="2"/>
  <c r="H394" i="2"/>
  <c r="G394" i="2"/>
  <c r="F394" i="2"/>
  <c r="E394" i="2"/>
  <c r="L375" i="2"/>
  <c r="P390" i="2"/>
  <c r="O390" i="2"/>
  <c r="N390" i="2"/>
  <c r="L390" i="2"/>
  <c r="K390" i="2"/>
  <c r="J390" i="2"/>
  <c r="I390" i="2"/>
  <c r="H390" i="2"/>
  <c r="G390" i="2"/>
  <c r="F390" i="2"/>
  <c r="E390" i="2"/>
  <c r="L373" i="2"/>
  <c r="O386" i="2"/>
  <c r="N371" i="2"/>
  <c r="P386" i="2"/>
  <c r="L32" i="12" s="1"/>
  <c r="L386" i="2"/>
  <c r="K386" i="2"/>
  <c r="J386" i="2"/>
  <c r="I386" i="2"/>
  <c r="H386" i="2"/>
  <c r="G386" i="2"/>
  <c r="F386" i="2"/>
  <c r="E386" i="2"/>
  <c r="R383" i="2"/>
  <c r="R34" i="2" s="1"/>
  <c r="O42" i="1" s="1"/>
  <c r="O145" i="1" s="1"/>
  <c r="O207" i="1" s="1"/>
  <c r="Q383" i="2"/>
  <c r="Q34" i="2" s="1"/>
  <c r="N42" i="1" s="1"/>
  <c r="N145" i="1" s="1"/>
  <c r="N207" i="1" s="1"/>
  <c r="P383" i="2"/>
  <c r="P34" i="2" s="1"/>
  <c r="M42" i="1" s="1"/>
  <c r="M145" i="1" s="1"/>
  <c r="M207" i="1" s="1"/>
  <c r="O383" i="2"/>
  <c r="O34" i="2" s="1"/>
  <c r="L42" i="1" s="1"/>
  <c r="N383" i="2"/>
  <c r="N34" i="2" s="1"/>
  <c r="K42" i="1" s="1"/>
  <c r="K145" i="1" s="1"/>
  <c r="K207" i="1" s="1"/>
  <c r="L383" i="2"/>
  <c r="L34" i="2" s="1"/>
  <c r="I42" i="1" s="1"/>
  <c r="I145" i="1" s="1"/>
  <c r="I207" i="1" s="1"/>
  <c r="K383" i="2"/>
  <c r="K34" i="2" s="1"/>
  <c r="H42" i="1" s="1"/>
  <c r="H145" i="1" s="1"/>
  <c r="H207" i="1" s="1"/>
  <c r="J383" i="2"/>
  <c r="J34" i="2" s="1"/>
  <c r="G42" i="1" s="1"/>
  <c r="G145" i="1" s="1"/>
  <c r="G207" i="1" s="1"/>
  <c r="I383" i="2"/>
  <c r="I34" i="2" s="1"/>
  <c r="F42" i="1" s="1"/>
  <c r="F145" i="1" s="1"/>
  <c r="F207" i="1" s="1"/>
  <c r="H383" i="2"/>
  <c r="H34" i="2" s="1"/>
  <c r="E42" i="1" s="1"/>
  <c r="E145" i="1" s="1"/>
  <c r="E207" i="1" s="1"/>
  <c r="G383" i="2"/>
  <c r="G34" i="2" s="1"/>
  <c r="D42" i="1" s="1"/>
  <c r="D145" i="1" s="1"/>
  <c r="D207" i="1" s="1"/>
  <c r="F383" i="2"/>
  <c r="F34" i="2" s="1"/>
  <c r="C42" i="1" s="1"/>
  <c r="C145" i="1" s="1"/>
  <c r="C207" i="1" s="1"/>
  <c r="E383" i="2"/>
  <c r="E34" i="2" s="1"/>
  <c r="B42" i="1" s="1"/>
  <c r="B145" i="1" s="1"/>
  <c r="B207" i="1" s="1"/>
  <c r="R382" i="2"/>
  <c r="Q382" i="2"/>
  <c r="P382" i="2"/>
  <c r="K382" i="2"/>
  <c r="K381" i="2" s="1"/>
  <c r="J382" i="2"/>
  <c r="I382" i="2"/>
  <c r="I381" i="2" s="1"/>
  <c r="H382" i="2"/>
  <c r="G382" i="2"/>
  <c r="G381" i="2" s="1"/>
  <c r="F382" i="2"/>
  <c r="R380" i="2"/>
  <c r="R27" i="2" s="1"/>
  <c r="O37" i="1" s="1"/>
  <c r="Q380" i="2"/>
  <c r="Q27" i="2" s="1"/>
  <c r="N37" i="1" s="1"/>
  <c r="P380" i="2"/>
  <c r="O380" i="2"/>
  <c r="K380" i="2"/>
  <c r="K27" i="2" s="1"/>
  <c r="J380" i="2"/>
  <c r="I380" i="2"/>
  <c r="H380" i="2"/>
  <c r="G380" i="2"/>
  <c r="F380" i="2"/>
  <c r="E380" i="2"/>
  <c r="R379" i="2"/>
  <c r="R25" i="2" s="1"/>
  <c r="O33" i="1" s="1"/>
  <c r="O136" i="1" s="1"/>
  <c r="O198" i="1" s="1"/>
  <c r="Q379" i="2"/>
  <c r="Q25" i="2" s="1"/>
  <c r="P379" i="2"/>
  <c r="P25" i="2" s="1"/>
  <c r="M33" i="1" s="1"/>
  <c r="O379" i="2"/>
  <c r="O25" i="2" s="1"/>
  <c r="N379" i="2"/>
  <c r="L379" i="2"/>
  <c r="L25" i="2" s="1"/>
  <c r="K379" i="2"/>
  <c r="K25" i="2" s="1"/>
  <c r="J379" i="2"/>
  <c r="J25" i="2" s="1"/>
  <c r="I379" i="2"/>
  <c r="I25" i="2" s="1"/>
  <c r="H379" i="2"/>
  <c r="H25" i="2" s="1"/>
  <c r="G379" i="2"/>
  <c r="G25" i="2" s="1"/>
  <c r="D33" i="1" s="1"/>
  <c r="F379" i="2"/>
  <c r="F25" i="2" s="1"/>
  <c r="C33" i="1" s="1"/>
  <c r="E379" i="2"/>
  <c r="E25" i="2" s="1"/>
  <c r="R376" i="2"/>
  <c r="R22" i="2" s="1"/>
  <c r="O27" i="1" s="1"/>
  <c r="Q376" i="2"/>
  <c r="Q22" i="2" s="1"/>
  <c r="N27" i="1" s="1"/>
  <c r="N130" i="1" s="1"/>
  <c r="N192" i="1" s="1"/>
  <c r="P376" i="2"/>
  <c r="O376" i="2"/>
  <c r="N376" i="2"/>
  <c r="N22" i="2" s="1"/>
  <c r="K27" i="1" s="1"/>
  <c r="K130" i="1" s="1"/>
  <c r="K192" i="1" s="1"/>
  <c r="L376" i="2"/>
  <c r="L22" i="2" s="1"/>
  <c r="I27" i="1" s="1"/>
  <c r="I130" i="1" s="1"/>
  <c r="I192" i="1" s="1"/>
  <c r="K376" i="2"/>
  <c r="K22" i="2" s="1"/>
  <c r="H27" i="1" s="1"/>
  <c r="H130" i="1" s="1"/>
  <c r="H192" i="1" s="1"/>
  <c r="J376" i="2"/>
  <c r="J22" i="2" s="1"/>
  <c r="G27" i="1" s="1"/>
  <c r="G130" i="1" s="1"/>
  <c r="G192" i="1" s="1"/>
  <c r="I376" i="2"/>
  <c r="I22" i="2" s="1"/>
  <c r="F27" i="1" s="1"/>
  <c r="F130" i="1" s="1"/>
  <c r="F192" i="1" s="1"/>
  <c r="H376" i="2"/>
  <c r="H22" i="2" s="1"/>
  <c r="E27" i="1" s="1"/>
  <c r="E130" i="1" s="1"/>
  <c r="E192" i="1" s="1"/>
  <c r="G376" i="2"/>
  <c r="G22" i="2" s="1"/>
  <c r="D27" i="1" s="1"/>
  <c r="D130" i="1" s="1"/>
  <c r="D192" i="1" s="1"/>
  <c r="F376" i="2"/>
  <c r="F22" i="2" s="1"/>
  <c r="C27" i="1" s="1"/>
  <c r="C130" i="1" s="1"/>
  <c r="C192" i="1" s="1"/>
  <c r="E376" i="2"/>
  <c r="E22" i="2" s="1"/>
  <c r="B27" i="1" s="1"/>
  <c r="B130" i="1" s="1"/>
  <c r="B192" i="1" s="1"/>
  <c r="R375" i="2"/>
  <c r="Q375" i="2"/>
  <c r="P375" i="2"/>
  <c r="K375" i="2"/>
  <c r="J375" i="2"/>
  <c r="H375" i="2"/>
  <c r="G375" i="2"/>
  <c r="F375" i="2"/>
  <c r="R373" i="2"/>
  <c r="Q373" i="2"/>
  <c r="P373" i="2"/>
  <c r="P17" i="2" s="1"/>
  <c r="O373" i="2"/>
  <c r="O17" i="2" s="1"/>
  <c r="N373" i="2"/>
  <c r="K373" i="2"/>
  <c r="K17" i="2" s="1"/>
  <c r="J373" i="2"/>
  <c r="I373" i="2"/>
  <c r="H373" i="2"/>
  <c r="G373" i="2"/>
  <c r="F373" i="2"/>
  <c r="E373" i="2"/>
  <c r="R372" i="2"/>
  <c r="R15" i="2" s="1"/>
  <c r="O19" i="1" s="1"/>
  <c r="Q372" i="2"/>
  <c r="Q15" i="2" s="1"/>
  <c r="N123" i="1" s="1"/>
  <c r="N185" i="1" s="1"/>
  <c r="P372" i="2"/>
  <c r="O372" i="2"/>
  <c r="N372" i="2"/>
  <c r="N15" i="2" s="1"/>
  <c r="L372" i="2"/>
  <c r="L15" i="2" s="1"/>
  <c r="K372" i="2"/>
  <c r="K15" i="2" s="1"/>
  <c r="J372" i="2"/>
  <c r="J15" i="2" s="1"/>
  <c r="I372" i="2"/>
  <c r="I15" i="2" s="1"/>
  <c r="H372" i="2"/>
  <c r="H15" i="2" s="1"/>
  <c r="E19" i="1" s="1"/>
  <c r="G372" i="2"/>
  <c r="G15" i="2" s="1"/>
  <c r="D19" i="1" s="1"/>
  <c r="F372" i="2"/>
  <c r="F15" i="2" s="1"/>
  <c r="C19" i="1" s="1"/>
  <c r="E372" i="2"/>
  <c r="E15" i="2" s="1"/>
  <c r="B19" i="1" s="1"/>
  <c r="R371" i="2"/>
  <c r="Q371" i="2"/>
  <c r="P371" i="2"/>
  <c r="L371" i="2"/>
  <c r="K371" i="2"/>
  <c r="J371" i="2"/>
  <c r="H371" i="2"/>
  <c r="G371" i="2"/>
  <c r="F371" i="2"/>
  <c r="L333" i="2"/>
  <c r="E342" i="2"/>
  <c r="P341" i="2"/>
  <c r="P340" i="2" s="1"/>
  <c r="O341" i="2"/>
  <c r="O340" i="2" s="1"/>
  <c r="N341" i="2"/>
  <c r="N340" i="2" s="1"/>
  <c r="K341" i="2"/>
  <c r="J341" i="2"/>
  <c r="J340" i="2" s="1"/>
  <c r="I341" i="2"/>
  <c r="I340" i="2" s="1"/>
  <c r="H341" i="2"/>
  <c r="H340" i="2" s="1"/>
  <c r="G341" i="2"/>
  <c r="G340" i="2" s="1"/>
  <c r="F341" i="2"/>
  <c r="F340" i="2" s="1"/>
  <c r="K340" i="2"/>
  <c r="E339" i="2"/>
  <c r="P338" i="2"/>
  <c r="O338" i="2"/>
  <c r="N338" i="2"/>
  <c r="L338" i="2"/>
  <c r="K338" i="2"/>
  <c r="J338" i="2"/>
  <c r="I338" i="2"/>
  <c r="H338" i="2"/>
  <c r="G338" i="2"/>
  <c r="F338" i="2"/>
  <c r="N337" i="2"/>
  <c r="N328" i="2" s="1"/>
  <c r="L337" i="2"/>
  <c r="L328" i="2" s="1"/>
  <c r="K328" i="2"/>
  <c r="J328" i="2"/>
  <c r="I328" i="2"/>
  <c r="E337" i="2"/>
  <c r="P336" i="2"/>
  <c r="O336" i="2"/>
  <c r="N336" i="2"/>
  <c r="H336" i="2"/>
  <c r="G336" i="2"/>
  <c r="F336" i="2"/>
  <c r="P332" i="2"/>
  <c r="P331" i="2" s="1"/>
  <c r="N29" i="10" s="1"/>
  <c r="K332" i="2"/>
  <c r="K331" i="2" s="1"/>
  <c r="I29" i="10" s="1"/>
  <c r="J332" i="2"/>
  <c r="J331" i="2" s="1"/>
  <c r="H29" i="10" s="1"/>
  <c r="I332" i="2"/>
  <c r="I331" i="2" s="1"/>
  <c r="G29" i="10" s="1"/>
  <c r="H332" i="2"/>
  <c r="H331" i="2" s="1"/>
  <c r="F29" i="10" s="1"/>
  <c r="G332" i="2"/>
  <c r="G331" i="2" s="1"/>
  <c r="E29" i="10" s="1"/>
  <c r="O332" i="2"/>
  <c r="O331" i="2" s="1"/>
  <c r="M29" i="10" s="1"/>
  <c r="F332" i="2"/>
  <c r="F331" i="2" s="1"/>
  <c r="D29" i="10" s="1"/>
  <c r="P329" i="2"/>
  <c r="L329" i="2"/>
  <c r="K329" i="2"/>
  <c r="H329" i="2"/>
  <c r="G329" i="2"/>
  <c r="F329" i="2"/>
  <c r="H327" i="2"/>
  <c r="F327" i="2"/>
  <c r="P327" i="2"/>
  <c r="G327" i="2"/>
  <c r="O220" i="2"/>
  <c r="O219" i="2" s="1"/>
  <c r="E221" i="2"/>
  <c r="M221" i="2" s="1"/>
  <c r="D221" i="2" s="1"/>
  <c r="P220" i="2"/>
  <c r="N220" i="2"/>
  <c r="L220" i="2"/>
  <c r="K220" i="2"/>
  <c r="J220" i="2"/>
  <c r="I220" i="2"/>
  <c r="H220" i="2"/>
  <c r="G220" i="2"/>
  <c r="F220" i="2"/>
  <c r="E220" i="2"/>
  <c r="P219" i="2"/>
  <c r="N219" i="2"/>
  <c r="L219" i="2"/>
  <c r="K219" i="2"/>
  <c r="J219" i="2"/>
  <c r="I219" i="2"/>
  <c r="H219" i="2"/>
  <c r="G219" i="2"/>
  <c r="F219" i="2"/>
  <c r="E219" i="2"/>
  <c r="I218" i="2"/>
  <c r="I217" i="2" s="1"/>
  <c r="E218" i="2"/>
  <c r="P217" i="2"/>
  <c r="O217" i="2"/>
  <c r="N217" i="2"/>
  <c r="L217" i="2"/>
  <c r="K217" i="2"/>
  <c r="J217" i="2"/>
  <c r="H217" i="2"/>
  <c r="G217" i="2"/>
  <c r="F217" i="2"/>
  <c r="E217" i="2"/>
  <c r="I216" i="2"/>
  <c r="I215" i="2" s="1"/>
  <c r="E216" i="2"/>
  <c r="P215" i="2"/>
  <c r="O215" i="2"/>
  <c r="N215" i="2"/>
  <c r="L215" i="2"/>
  <c r="K215" i="2"/>
  <c r="J215" i="2"/>
  <c r="H215" i="2"/>
  <c r="G215" i="2"/>
  <c r="F215" i="2"/>
  <c r="N212" i="2"/>
  <c r="L212" i="2"/>
  <c r="P211" i="2"/>
  <c r="P210" i="2" s="1"/>
  <c r="O211" i="2"/>
  <c r="O210" i="2" s="1"/>
  <c r="N211" i="2"/>
  <c r="N210" i="2" s="1"/>
  <c r="L209" i="2"/>
  <c r="M209" i="2" s="1"/>
  <c r="D209" i="2" s="1"/>
  <c r="P208" i="2"/>
  <c r="P207" i="2" s="1"/>
  <c r="E246" i="2"/>
  <c r="M246" i="2" s="1"/>
  <c r="D246" i="2" s="1"/>
  <c r="P245" i="2"/>
  <c r="O245" i="2"/>
  <c r="O244" i="2" s="1"/>
  <c r="N245" i="2"/>
  <c r="N244" i="2" s="1"/>
  <c r="L245" i="2"/>
  <c r="L244" i="2" s="1"/>
  <c r="K245" i="2"/>
  <c r="K244" i="2" s="1"/>
  <c r="J245" i="2"/>
  <c r="J244" i="2" s="1"/>
  <c r="I245" i="2"/>
  <c r="I244" i="2" s="1"/>
  <c r="H245" i="2"/>
  <c r="H244" i="2" s="1"/>
  <c r="G245" i="2"/>
  <c r="G244" i="2" s="1"/>
  <c r="F245" i="2"/>
  <c r="F244" i="2" s="1"/>
  <c r="P244" i="2"/>
  <c r="I243" i="2"/>
  <c r="I242" i="2" s="1"/>
  <c r="E243" i="2"/>
  <c r="P242" i="2"/>
  <c r="O242" i="2"/>
  <c r="N242" i="2"/>
  <c r="L242" i="2"/>
  <c r="K242" i="2"/>
  <c r="J242" i="2"/>
  <c r="H242" i="2"/>
  <c r="G242" i="2"/>
  <c r="F242" i="2"/>
  <c r="L240" i="2"/>
  <c r="I241" i="2"/>
  <c r="I240" i="2" s="1"/>
  <c r="E241" i="2"/>
  <c r="P240" i="2"/>
  <c r="O240" i="2"/>
  <c r="K240" i="2"/>
  <c r="J240" i="2"/>
  <c r="H240" i="2"/>
  <c r="G240" i="2"/>
  <c r="F240" i="2"/>
  <c r="E205" i="2"/>
  <c r="P204" i="2"/>
  <c r="P203" i="2" s="1"/>
  <c r="O204" i="2"/>
  <c r="O203" i="2" s="1"/>
  <c r="N204" i="2"/>
  <c r="N203" i="2" s="1"/>
  <c r="L204" i="2"/>
  <c r="L203" i="2" s="1"/>
  <c r="K204" i="2"/>
  <c r="K203" i="2" s="1"/>
  <c r="J204" i="2"/>
  <c r="J203" i="2" s="1"/>
  <c r="I204" i="2"/>
  <c r="I203" i="2" s="1"/>
  <c r="H204" i="2"/>
  <c r="H203" i="2" s="1"/>
  <c r="G204" i="2"/>
  <c r="G203" i="2" s="1"/>
  <c r="F204" i="2"/>
  <c r="F203" i="2" s="1"/>
  <c r="E202" i="2"/>
  <c r="M202" i="2" s="1"/>
  <c r="D202" i="2" s="1"/>
  <c r="P201" i="2"/>
  <c r="O201" i="2"/>
  <c r="N201" i="2"/>
  <c r="L201" i="2"/>
  <c r="K201" i="2"/>
  <c r="J201" i="2"/>
  <c r="I201" i="2"/>
  <c r="H201" i="2"/>
  <c r="G201" i="2"/>
  <c r="F201" i="2"/>
  <c r="N200" i="2"/>
  <c r="L200" i="2"/>
  <c r="L199" i="2" s="1"/>
  <c r="I200" i="2"/>
  <c r="I199" i="2" s="1"/>
  <c r="E200" i="2"/>
  <c r="P199" i="2"/>
  <c r="O199" i="2"/>
  <c r="N199" i="2"/>
  <c r="K199" i="2"/>
  <c r="J199" i="2"/>
  <c r="H199" i="2"/>
  <c r="G199" i="2"/>
  <c r="F199" i="2"/>
  <c r="E196" i="2"/>
  <c r="M196" i="2" s="1"/>
  <c r="D196" i="2" s="1"/>
  <c r="N195" i="2"/>
  <c r="N194" i="2" s="1"/>
  <c r="L195" i="2"/>
  <c r="L194" i="2" s="1"/>
  <c r="K195" i="2"/>
  <c r="K194" i="2" s="1"/>
  <c r="J195" i="2"/>
  <c r="J194" i="2" s="1"/>
  <c r="I195" i="2"/>
  <c r="I194" i="2" s="1"/>
  <c r="H195" i="2"/>
  <c r="H194" i="2" s="1"/>
  <c r="G195" i="2"/>
  <c r="G194" i="2" s="1"/>
  <c r="F195" i="2"/>
  <c r="F194" i="2" s="1"/>
  <c r="N192" i="2"/>
  <c r="L192" i="2"/>
  <c r="K192" i="2"/>
  <c r="J192" i="2"/>
  <c r="I192" i="2"/>
  <c r="H192" i="2"/>
  <c r="G192" i="2"/>
  <c r="F192" i="2"/>
  <c r="E192" i="2"/>
  <c r="D192" i="2"/>
  <c r="N190" i="2"/>
  <c r="L190" i="2"/>
  <c r="K190" i="2"/>
  <c r="J190" i="2"/>
  <c r="I190" i="2"/>
  <c r="H190" i="2"/>
  <c r="G190" i="2"/>
  <c r="F190" i="2"/>
  <c r="E190" i="2"/>
  <c r="O187" i="2"/>
  <c r="L187" i="2"/>
  <c r="E187" i="2"/>
  <c r="P186" i="2"/>
  <c r="O186" i="2"/>
  <c r="N186" i="2"/>
  <c r="K186" i="2"/>
  <c r="J186" i="2"/>
  <c r="I186" i="2"/>
  <c r="H186" i="2"/>
  <c r="G186" i="2"/>
  <c r="F186" i="2"/>
  <c r="E186" i="2"/>
  <c r="E185" i="2"/>
  <c r="P184" i="2"/>
  <c r="O184" i="2"/>
  <c r="N184" i="2"/>
  <c r="L184" i="2"/>
  <c r="K184" i="2"/>
  <c r="J184" i="2"/>
  <c r="I184" i="2"/>
  <c r="H184" i="2"/>
  <c r="G184" i="2"/>
  <c r="F184" i="2"/>
  <c r="L182" i="2"/>
  <c r="M182" i="2" s="1"/>
  <c r="D182" i="2" s="1"/>
  <c r="P181" i="2"/>
  <c r="O181" i="2"/>
  <c r="K181" i="2"/>
  <c r="J181" i="2"/>
  <c r="I181" i="2"/>
  <c r="H181" i="2"/>
  <c r="G181" i="2"/>
  <c r="F181" i="2"/>
  <c r="E181" i="2"/>
  <c r="K20" i="12"/>
  <c r="K9" i="12" s="1"/>
  <c r="K32" i="12" s="1"/>
  <c r="L179" i="2"/>
  <c r="L178" i="2" s="1"/>
  <c r="E179" i="2"/>
  <c r="P178" i="2"/>
  <c r="P177" i="2" s="1"/>
  <c r="L19" i="12" s="1"/>
  <c r="N178" i="2"/>
  <c r="K178" i="2"/>
  <c r="K177" i="2" s="1"/>
  <c r="J178" i="2"/>
  <c r="J177" i="2" s="1"/>
  <c r="I178" i="2"/>
  <c r="I177" i="2" s="1"/>
  <c r="H178" i="2"/>
  <c r="H177" i="2" s="1"/>
  <c r="G178" i="2"/>
  <c r="G177" i="2" s="1"/>
  <c r="F178" i="2"/>
  <c r="F177" i="2" s="1"/>
  <c r="N175" i="2"/>
  <c r="N174" i="2" s="1"/>
  <c r="N173" i="2" s="1"/>
  <c r="L175" i="2"/>
  <c r="E175" i="2"/>
  <c r="P174" i="2"/>
  <c r="P173" i="2" s="1"/>
  <c r="O174" i="2"/>
  <c r="O173" i="2" s="1"/>
  <c r="K174" i="2"/>
  <c r="K173" i="2" s="1"/>
  <c r="J174" i="2"/>
  <c r="J173" i="2" s="1"/>
  <c r="I174" i="2"/>
  <c r="I173" i="2" s="1"/>
  <c r="H174" i="2"/>
  <c r="H173" i="2" s="1"/>
  <c r="G174" i="2"/>
  <c r="G173" i="2" s="1"/>
  <c r="F174" i="2"/>
  <c r="F173" i="2" s="1"/>
  <c r="L171" i="2"/>
  <c r="K172" i="2"/>
  <c r="K171" i="2" s="1"/>
  <c r="J172" i="2"/>
  <c r="J171" i="2" s="1"/>
  <c r="I172" i="2"/>
  <c r="I171" i="2" s="1"/>
  <c r="E172" i="2"/>
  <c r="P171" i="2"/>
  <c r="O171" i="2"/>
  <c r="H171" i="2"/>
  <c r="G171" i="2"/>
  <c r="F171" i="2"/>
  <c r="K170" i="2"/>
  <c r="P169" i="2"/>
  <c r="O169" i="2"/>
  <c r="N169" i="2"/>
  <c r="L169" i="2"/>
  <c r="J169" i="2"/>
  <c r="I169" i="2"/>
  <c r="H169" i="2"/>
  <c r="G169" i="2"/>
  <c r="F169" i="2"/>
  <c r="E169" i="2"/>
  <c r="O165" i="2"/>
  <c r="N166" i="2"/>
  <c r="N165" i="2" s="1"/>
  <c r="L166" i="2"/>
  <c r="J166" i="2"/>
  <c r="E166" i="2"/>
  <c r="P165" i="2"/>
  <c r="K165" i="2"/>
  <c r="I165" i="2"/>
  <c r="H165" i="2"/>
  <c r="G165" i="2"/>
  <c r="F165" i="2"/>
  <c r="L164" i="2"/>
  <c r="L163" i="2" s="1"/>
  <c r="E164" i="2"/>
  <c r="P163" i="2"/>
  <c r="O163" i="2"/>
  <c r="N163" i="2"/>
  <c r="K163" i="2"/>
  <c r="J163" i="2"/>
  <c r="I163" i="2"/>
  <c r="H163" i="2"/>
  <c r="G163" i="2"/>
  <c r="F163" i="2"/>
  <c r="K161" i="2"/>
  <c r="J161" i="2"/>
  <c r="I161" i="2"/>
  <c r="E161" i="2"/>
  <c r="P160" i="2"/>
  <c r="O160" i="2"/>
  <c r="K160" i="2"/>
  <c r="H160" i="2"/>
  <c r="G160" i="2"/>
  <c r="F160" i="2"/>
  <c r="K159" i="2"/>
  <c r="P158" i="2"/>
  <c r="O158" i="2"/>
  <c r="N158" i="2"/>
  <c r="L158" i="2"/>
  <c r="J158" i="2"/>
  <c r="I158" i="2"/>
  <c r="H158" i="2"/>
  <c r="G158" i="2"/>
  <c r="F158" i="2"/>
  <c r="E158" i="2"/>
  <c r="L155" i="2"/>
  <c r="J155" i="2"/>
  <c r="J154" i="2" s="1"/>
  <c r="E155" i="2"/>
  <c r="E154" i="2" s="1"/>
  <c r="P154" i="2"/>
  <c r="O154" i="2"/>
  <c r="N154" i="2"/>
  <c r="K154" i="2"/>
  <c r="I154" i="2"/>
  <c r="H154" i="2"/>
  <c r="G154" i="2"/>
  <c r="F154" i="2"/>
  <c r="L153" i="2"/>
  <c r="L152" i="2" s="1"/>
  <c r="E153" i="2"/>
  <c r="P152" i="2"/>
  <c r="O152" i="2"/>
  <c r="O151" i="2" s="1"/>
  <c r="N152" i="2"/>
  <c r="K152" i="2"/>
  <c r="J152" i="2"/>
  <c r="I152" i="2"/>
  <c r="H152" i="2"/>
  <c r="G152" i="2"/>
  <c r="F152" i="2"/>
  <c r="F151" i="2" s="1"/>
  <c r="E152" i="2"/>
  <c r="H151" i="2"/>
  <c r="K150" i="2"/>
  <c r="K149" i="2" s="1"/>
  <c r="I150" i="2"/>
  <c r="I149" i="2" s="1"/>
  <c r="E150" i="2"/>
  <c r="P149" i="2"/>
  <c r="O149" i="2"/>
  <c r="N149" i="2"/>
  <c r="L149" i="2"/>
  <c r="J149" i="2"/>
  <c r="H149" i="2"/>
  <c r="G149" i="2"/>
  <c r="F149" i="2"/>
  <c r="K148" i="2"/>
  <c r="N147" i="2"/>
  <c r="N146" i="2" s="1"/>
  <c r="L147" i="2"/>
  <c r="L146" i="2" s="1"/>
  <c r="K147" i="2"/>
  <c r="P146" i="2"/>
  <c r="X146" i="2" s="1"/>
  <c r="X145" i="2" s="1"/>
  <c r="O146" i="2"/>
  <c r="J146" i="2"/>
  <c r="I146" i="2"/>
  <c r="H146" i="2"/>
  <c r="G146" i="2"/>
  <c r="F146" i="2"/>
  <c r="E146" i="2"/>
  <c r="E298" i="2"/>
  <c r="M298" i="2" s="1"/>
  <c r="D298" i="2" s="1"/>
  <c r="P297" i="2"/>
  <c r="P294" i="2" s="1"/>
  <c r="O297" i="2"/>
  <c r="O294" i="2" s="1"/>
  <c r="N297" i="2"/>
  <c r="N294" i="2" s="1"/>
  <c r="K297" i="2"/>
  <c r="K294" i="2" s="1"/>
  <c r="J297" i="2"/>
  <c r="J294" i="2" s="1"/>
  <c r="I297" i="2"/>
  <c r="I294" i="2" s="1"/>
  <c r="H297" i="2"/>
  <c r="H294" i="2" s="1"/>
  <c r="G297" i="2"/>
  <c r="G294" i="2" s="1"/>
  <c r="F297" i="2"/>
  <c r="F294" i="2" s="1"/>
  <c r="E297" i="2"/>
  <c r="E294" i="2" s="1"/>
  <c r="J17" i="12"/>
  <c r="J292" i="2"/>
  <c r="I293" i="2"/>
  <c r="I292" i="2" s="1"/>
  <c r="E293" i="2"/>
  <c r="P292" i="2"/>
  <c r="O292" i="2"/>
  <c r="O288" i="2" s="1"/>
  <c r="K15" i="12" s="1"/>
  <c r="N292" i="2"/>
  <c r="L292" i="2"/>
  <c r="K292" i="2"/>
  <c r="H292" i="2"/>
  <c r="H288" i="2" s="1"/>
  <c r="G292" i="2"/>
  <c r="F292" i="2"/>
  <c r="F288" i="2" s="1"/>
  <c r="I290" i="2"/>
  <c r="I289" i="2" s="1"/>
  <c r="E290" i="2"/>
  <c r="E143" i="2"/>
  <c r="D143" i="2" s="1"/>
  <c r="D142" i="2" s="1"/>
  <c r="P142" i="2"/>
  <c r="O142" i="2"/>
  <c r="N142" i="2"/>
  <c r="L142" i="2"/>
  <c r="K142" i="2"/>
  <c r="J142" i="2"/>
  <c r="I142" i="2"/>
  <c r="H142" i="2"/>
  <c r="G142" i="2"/>
  <c r="F142" i="2"/>
  <c r="E141" i="2"/>
  <c r="D141" i="2" s="1"/>
  <c r="D140" i="2" s="1"/>
  <c r="P140" i="2"/>
  <c r="O140" i="2"/>
  <c r="N140" i="2"/>
  <c r="L140" i="2"/>
  <c r="K140" i="2"/>
  <c r="J140" i="2"/>
  <c r="I140" i="2"/>
  <c r="H140" i="2"/>
  <c r="G140" i="2"/>
  <c r="F140" i="2"/>
  <c r="E138" i="2"/>
  <c r="D138" i="2" s="1"/>
  <c r="D137" i="2" s="1"/>
  <c r="P137" i="2"/>
  <c r="O137" i="2"/>
  <c r="N137" i="2"/>
  <c r="L137" i="2"/>
  <c r="K137" i="2"/>
  <c r="J137" i="2"/>
  <c r="I137" i="2"/>
  <c r="H137" i="2"/>
  <c r="G137" i="2"/>
  <c r="F137" i="2"/>
  <c r="E136" i="2"/>
  <c r="D136" i="2" s="1"/>
  <c r="E135" i="2"/>
  <c r="D135" i="2" s="1"/>
  <c r="P134" i="2"/>
  <c r="O134" i="2"/>
  <c r="O133" i="2" s="1"/>
  <c r="N134" i="2"/>
  <c r="L134" i="2"/>
  <c r="L133" i="2" s="1"/>
  <c r="K134" i="2"/>
  <c r="J134" i="2"/>
  <c r="J133" i="2" s="1"/>
  <c r="I134" i="2"/>
  <c r="H134" i="2"/>
  <c r="H133" i="2" s="1"/>
  <c r="G134" i="2"/>
  <c r="F134" i="2"/>
  <c r="F133" i="2" s="1"/>
  <c r="N130" i="2"/>
  <c r="N129" i="2" s="1"/>
  <c r="L130" i="2"/>
  <c r="L129" i="2" s="1"/>
  <c r="J131" i="2"/>
  <c r="J130" i="2" s="1"/>
  <c r="J129" i="2" s="1"/>
  <c r="E131" i="2"/>
  <c r="P130" i="2"/>
  <c r="P129" i="2" s="1"/>
  <c r="O130" i="2"/>
  <c r="O129" i="2" s="1"/>
  <c r="K130" i="2"/>
  <c r="K129" i="2" s="1"/>
  <c r="I130" i="2"/>
  <c r="I129" i="2" s="1"/>
  <c r="H130" i="2"/>
  <c r="H129" i="2" s="1"/>
  <c r="G130" i="2"/>
  <c r="G129" i="2" s="1"/>
  <c r="F130" i="2"/>
  <c r="F129" i="2" s="1"/>
  <c r="I128" i="2"/>
  <c r="E128" i="2"/>
  <c r="P127" i="2"/>
  <c r="O127" i="2"/>
  <c r="K127" i="2"/>
  <c r="J127" i="2"/>
  <c r="H127" i="2"/>
  <c r="G127" i="2"/>
  <c r="F127" i="2"/>
  <c r="E127" i="2"/>
  <c r="J126" i="2"/>
  <c r="E126" i="2"/>
  <c r="P125" i="2"/>
  <c r="O125" i="2"/>
  <c r="K125" i="2"/>
  <c r="I125" i="2"/>
  <c r="H125" i="2"/>
  <c r="G125" i="2"/>
  <c r="F125" i="2"/>
  <c r="I286" i="2"/>
  <c r="I285" i="2" s="1"/>
  <c r="E286" i="2"/>
  <c r="P285" i="2"/>
  <c r="O285" i="2"/>
  <c r="N285" i="2"/>
  <c r="L285" i="2"/>
  <c r="K285" i="2"/>
  <c r="J285" i="2"/>
  <c r="H285" i="2"/>
  <c r="G285" i="2"/>
  <c r="F285" i="2"/>
  <c r="E284" i="2"/>
  <c r="D284" i="2" s="1"/>
  <c r="D283" i="2" s="1"/>
  <c r="P283" i="2"/>
  <c r="O283" i="2"/>
  <c r="N283" i="2"/>
  <c r="L283" i="2"/>
  <c r="K283" i="2"/>
  <c r="J283" i="2"/>
  <c r="I283" i="2"/>
  <c r="H283" i="2"/>
  <c r="G283" i="2"/>
  <c r="F283" i="2"/>
  <c r="E281" i="2"/>
  <c r="M281" i="2" s="1"/>
  <c r="P280" i="2"/>
  <c r="O280" i="2"/>
  <c r="N280" i="2"/>
  <c r="L280" i="2"/>
  <c r="K280" i="2"/>
  <c r="J280" i="2"/>
  <c r="I280" i="2"/>
  <c r="H280" i="2"/>
  <c r="G280" i="2"/>
  <c r="F280" i="2"/>
  <c r="D279" i="2"/>
  <c r="P277" i="2"/>
  <c r="O277" i="2"/>
  <c r="L277" i="2"/>
  <c r="K277" i="2"/>
  <c r="J277" i="2"/>
  <c r="I277" i="2"/>
  <c r="H277" i="2"/>
  <c r="G277" i="2"/>
  <c r="F277" i="2"/>
  <c r="E277" i="2"/>
  <c r="E324" i="2"/>
  <c r="M324" i="2" s="1"/>
  <c r="P323" i="2"/>
  <c r="O323" i="2"/>
  <c r="N323" i="2"/>
  <c r="L323" i="2"/>
  <c r="J323" i="2"/>
  <c r="I323" i="2"/>
  <c r="H323" i="2"/>
  <c r="G323" i="2"/>
  <c r="F323" i="2"/>
  <c r="E323" i="2"/>
  <c r="I46" i="2"/>
  <c r="E322" i="2"/>
  <c r="P319" i="2"/>
  <c r="N319" i="2"/>
  <c r="J317" i="2"/>
  <c r="I317" i="2"/>
  <c r="E318" i="2"/>
  <c r="E317" i="2" s="1"/>
  <c r="P317" i="2"/>
  <c r="O317" i="2"/>
  <c r="N317" i="2"/>
  <c r="L317" i="2"/>
  <c r="K317" i="2"/>
  <c r="H317" i="2"/>
  <c r="G317" i="2"/>
  <c r="F317" i="2"/>
  <c r="E316" i="2"/>
  <c r="E314" i="2"/>
  <c r="E274" i="2"/>
  <c r="M274" i="2" s="1"/>
  <c r="P273" i="2"/>
  <c r="O273" i="2"/>
  <c r="N273" i="2"/>
  <c r="L273" i="2"/>
  <c r="K273" i="2"/>
  <c r="J273" i="2"/>
  <c r="I273" i="2"/>
  <c r="H273" i="2"/>
  <c r="G273" i="2"/>
  <c r="F273" i="2"/>
  <c r="E272" i="2"/>
  <c r="P271" i="2"/>
  <c r="O271" i="2"/>
  <c r="N271" i="2"/>
  <c r="L271" i="2"/>
  <c r="K271" i="2"/>
  <c r="J271" i="2"/>
  <c r="I271" i="2"/>
  <c r="H271" i="2"/>
  <c r="G271" i="2"/>
  <c r="F271" i="2"/>
  <c r="D268" i="2"/>
  <c r="P268" i="2"/>
  <c r="O268" i="2"/>
  <c r="N268" i="2"/>
  <c r="L268" i="2"/>
  <c r="K268" i="2"/>
  <c r="J268" i="2"/>
  <c r="I268" i="2"/>
  <c r="H268" i="2"/>
  <c r="G268" i="2"/>
  <c r="F268" i="2"/>
  <c r="E268" i="2"/>
  <c r="P265" i="2"/>
  <c r="O265" i="2"/>
  <c r="N265" i="2"/>
  <c r="L265" i="2"/>
  <c r="K265" i="2"/>
  <c r="J265" i="2"/>
  <c r="I265" i="2"/>
  <c r="H265" i="2"/>
  <c r="G265" i="2"/>
  <c r="F265" i="2"/>
  <c r="E265" i="2"/>
  <c r="L310" i="2"/>
  <c r="J309" i="2"/>
  <c r="J306" i="2" s="1"/>
  <c r="I310" i="2"/>
  <c r="E310" i="2"/>
  <c r="P309" i="2"/>
  <c r="P306" i="2" s="1"/>
  <c r="O309" i="2"/>
  <c r="O306" i="2" s="1"/>
  <c r="L309" i="2"/>
  <c r="L306" i="2" s="1"/>
  <c r="K309" i="2"/>
  <c r="K306" i="2" s="1"/>
  <c r="H309" i="2"/>
  <c r="H306" i="2" s="1"/>
  <c r="G309" i="2"/>
  <c r="G306" i="2" s="1"/>
  <c r="F309" i="2"/>
  <c r="F306" i="2" s="1"/>
  <c r="H304" i="2"/>
  <c r="P304" i="2"/>
  <c r="O304" i="2"/>
  <c r="N304" i="2"/>
  <c r="L304" i="2"/>
  <c r="K304" i="2"/>
  <c r="K300" i="2" s="1"/>
  <c r="J304" i="2"/>
  <c r="I304" i="2"/>
  <c r="I300" i="2" s="1"/>
  <c r="F304" i="2"/>
  <c r="L302" i="2"/>
  <c r="L301" i="2" s="1"/>
  <c r="H38" i="2"/>
  <c r="G38" i="2"/>
  <c r="J300" i="2"/>
  <c r="N122" i="2"/>
  <c r="N121" i="2" s="1"/>
  <c r="L122" i="2"/>
  <c r="E122" i="2"/>
  <c r="P121" i="2"/>
  <c r="O121" i="2"/>
  <c r="L121" i="2"/>
  <c r="K121" i="2"/>
  <c r="J121" i="2"/>
  <c r="I121" i="2"/>
  <c r="H121" i="2"/>
  <c r="G121" i="2"/>
  <c r="F121" i="2"/>
  <c r="N119" i="2"/>
  <c r="L120" i="2"/>
  <c r="L119" i="2" s="1"/>
  <c r="L118" i="2" s="1"/>
  <c r="E120" i="2"/>
  <c r="P119" i="2"/>
  <c r="O119" i="2"/>
  <c r="K119" i="2"/>
  <c r="J119" i="2"/>
  <c r="I119" i="2"/>
  <c r="H119" i="2"/>
  <c r="G119" i="2"/>
  <c r="F119" i="2"/>
  <c r="E117" i="2"/>
  <c r="P116" i="2"/>
  <c r="O116" i="2"/>
  <c r="N116" i="2"/>
  <c r="L116" i="2"/>
  <c r="K116" i="2"/>
  <c r="J116" i="2"/>
  <c r="I116" i="2"/>
  <c r="H116" i="2"/>
  <c r="G116" i="2"/>
  <c r="F116" i="2"/>
  <c r="E114" i="2"/>
  <c r="M114" i="2" s="1"/>
  <c r="D114" i="2" s="1"/>
  <c r="P113" i="2"/>
  <c r="O113" i="2"/>
  <c r="N113" i="2"/>
  <c r="L113" i="2"/>
  <c r="K113" i="2"/>
  <c r="J113" i="2"/>
  <c r="I113" i="2"/>
  <c r="H113" i="2"/>
  <c r="G113" i="2"/>
  <c r="F113" i="2"/>
  <c r="L110" i="2"/>
  <c r="M110" i="2" s="1"/>
  <c r="D110" i="2" s="1"/>
  <c r="E109" i="2"/>
  <c r="D109" i="2" s="1"/>
  <c r="P108" i="2"/>
  <c r="O108" i="2"/>
  <c r="N108" i="2"/>
  <c r="K108" i="2"/>
  <c r="J108" i="2"/>
  <c r="I108" i="2"/>
  <c r="H108" i="2"/>
  <c r="G108" i="2"/>
  <c r="F108" i="2"/>
  <c r="E108" i="2"/>
  <c r="L107" i="2"/>
  <c r="L106" i="2" s="1"/>
  <c r="J107" i="2"/>
  <c r="J47" i="2" s="1"/>
  <c r="J28" i="2" s="1"/>
  <c r="G38" i="1" s="1"/>
  <c r="E107" i="2"/>
  <c r="P106" i="2"/>
  <c r="O106" i="2"/>
  <c r="N106" i="2"/>
  <c r="K106" i="2"/>
  <c r="J106" i="2"/>
  <c r="I106" i="2"/>
  <c r="H106" i="2"/>
  <c r="G106" i="2"/>
  <c r="F106" i="2"/>
  <c r="E106" i="2"/>
  <c r="J104" i="2"/>
  <c r="J102" i="2" s="1"/>
  <c r="I104" i="2"/>
  <c r="D103" i="2"/>
  <c r="P102" i="2"/>
  <c r="O102" i="2"/>
  <c r="N102" i="2"/>
  <c r="L102" i="2"/>
  <c r="K102" i="2"/>
  <c r="H102" i="2"/>
  <c r="G102" i="2"/>
  <c r="F102" i="2"/>
  <c r="E102" i="2"/>
  <c r="J101" i="2"/>
  <c r="J40" i="2" s="1"/>
  <c r="J18" i="2" s="1"/>
  <c r="G23" i="1" s="1"/>
  <c r="G128" i="1" s="1"/>
  <c r="G189" i="1" s="1"/>
  <c r="I101" i="2"/>
  <c r="N100" i="2"/>
  <c r="L100" i="2"/>
  <c r="L99" i="2" s="1"/>
  <c r="J100" i="2"/>
  <c r="J99" i="2" s="1"/>
  <c r="E100" i="2"/>
  <c r="P99" i="2"/>
  <c r="O99" i="2"/>
  <c r="K99" i="2"/>
  <c r="H99" i="2"/>
  <c r="G99" i="2"/>
  <c r="F99" i="2"/>
  <c r="E261" i="2"/>
  <c r="P260" i="2"/>
  <c r="O260" i="2"/>
  <c r="N260" i="2"/>
  <c r="L260" i="2"/>
  <c r="K260" i="2"/>
  <c r="J260" i="2"/>
  <c r="I260" i="2"/>
  <c r="H260" i="2"/>
  <c r="G260" i="2"/>
  <c r="F260" i="2"/>
  <c r="D259" i="2"/>
  <c r="E258" i="2"/>
  <c r="P257" i="2"/>
  <c r="O257" i="2"/>
  <c r="N257" i="2"/>
  <c r="L257" i="2"/>
  <c r="K257" i="2"/>
  <c r="J257" i="2"/>
  <c r="I257" i="2"/>
  <c r="H257" i="2"/>
  <c r="G257" i="2"/>
  <c r="F257" i="2"/>
  <c r="E255" i="2"/>
  <c r="P253" i="2"/>
  <c r="P248" i="2" s="1"/>
  <c r="O253" i="2"/>
  <c r="O248" i="2" s="1"/>
  <c r="N253" i="2"/>
  <c r="N248" i="2" s="1"/>
  <c r="L253" i="2"/>
  <c r="L248" i="2" s="1"/>
  <c r="K253" i="2"/>
  <c r="K248" i="2" s="1"/>
  <c r="J253" i="2"/>
  <c r="J248" i="2" s="1"/>
  <c r="I253" i="2"/>
  <c r="H253" i="2"/>
  <c r="G253" i="2"/>
  <c r="G248" i="2" s="1"/>
  <c r="F253" i="2"/>
  <c r="F248" i="2" s="1"/>
  <c r="I251" i="2"/>
  <c r="I249" i="2" s="1"/>
  <c r="H251" i="2"/>
  <c r="L96" i="2"/>
  <c r="E96" i="2"/>
  <c r="D95" i="2"/>
  <c r="P94" i="2"/>
  <c r="O94" i="2"/>
  <c r="N94" i="2"/>
  <c r="L94" i="2"/>
  <c r="K94" i="2"/>
  <c r="J94" i="2"/>
  <c r="I94" i="2"/>
  <c r="H94" i="2"/>
  <c r="G94" i="2"/>
  <c r="F94" i="2"/>
  <c r="L92" i="2"/>
  <c r="M92" i="2" s="1"/>
  <c r="D92" i="2" s="1"/>
  <c r="P91" i="2"/>
  <c r="O91" i="2"/>
  <c r="N91" i="2"/>
  <c r="K91" i="2"/>
  <c r="K90" i="2" s="1"/>
  <c r="J91" i="2"/>
  <c r="I91" i="2"/>
  <c r="H91" i="2"/>
  <c r="G91" i="2"/>
  <c r="G90" i="2" s="1"/>
  <c r="F91" i="2"/>
  <c r="E91" i="2"/>
  <c r="M89" i="2"/>
  <c r="D89" i="2" s="1"/>
  <c r="D88" i="2"/>
  <c r="P87" i="2"/>
  <c r="O87" i="2"/>
  <c r="N87" i="2"/>
  <c r="L87" i="2"/>
  <c r="J87" i="2"/>
  <c r="I87" i="2"/>
  <c r="H87" i="2"/>
  <c r="G87" i="2"/>
  <c r="F87" i="2"/>
  <c r="E87" i="2"/>
  <c r="L84" i="2"/>
  <c r="L83" i="2" s="1"/>
  <c r="P83" i="2"/>
  <c r="O83" i="2"/>
  <c r="J83" i="2"/>
  <c r="I83" i="2"/>
  <c r="H83" i="2"/>
  <c r="G83" i="2"/>
  <c r="F83" i="2"/>
  <c r="E83" i="2"/>
  <c r="L78" i="2"/>
  <c r="E80" i="2"/>
  <c r="P78" i="2"/>
  <c r="O78" i="2"/>
  <c r="N78" i="2"/>
  <c r="K78" i="2"/>
  <c r="J78" i="2"/>
  <c r="I78" i="2"/>
  <c r="H78" i="2"/>
  <c r="G78" i="2"/>
  <c r="F78" i="2"/>
  <c r="P76" i="2"/>
  <c r="O76" i="2"/>
  <c r="N76" i="2"/>
  <c r="K76" i="2"/>
  <c r="J76" i="2"/>
  <c r="I76" i="2"/>
  <c r="H76" i="2"/>
  <c r="G76" i="2"/>
  <c r="F76" i="2"/>
  <c r="E76" i="2"/>
  <c r="J72" i="2"/>
  <c r="E74" i="2"/>
  <c r="M74" i="2" s="1"/>
  <c r="E73" i="2"/>
  <c r="D73" i="2" s="1"/>
  <c r="P72" i="2"/>
  <c r="O72" i="2"/>
  <c r="N72" i="2"/>
  <c r="L72" i="2"/>
  <c r="K72" i="2"/>
  <c r="I72" i="2"/>
  <c r="H72" i="2"/>
  <c r="G72" i="2"/>
  <c r="F72" i="2"/>
  <c r="E71" i="2"/>
  <c r="M70" i="2"/>
  <c r="P69" i="2"/>
  <c r="O69" i="2"/>
  <c r="K69" i="2"/>
  <c r="J69" i="2"/>
  <c r="I69" i="2"/>
  <c r="H69" i="2"/>
  <c r="G69" i="2"/>
  <c r="F69" i="2"/>
  <c r="E237" i="2"/>
  <c r="D236" i="2"/>
  <c r="P235" i="2"/>
  <c r="O235" i="2"/>
  <c r="N235" i="2"/>
  <c r="P232" i="2"/>
  <c r="O232" i="2"/>
  <c r="N232" i="2"/>
  <c r="E230" i="2"/>
  <c r="E227" i="2"/>
  <c r="E225" i="2" s="1"/>
  <c r="P225" i="2"/>
  <c r="O225" i="2"/>
  <c r="N225" i="2"/>
  <c r="L225" i="2"/>
  <c r="K225" i="2"/>
  <c r="J225" i="2"/>
  <c r="I225" i="2"/>
  <c r="H225" i="2"/>
  <c r="G225" i="2"/>
  <c r="F225" i="2"/>
  <c r="L66" i="2"/>
  <c r="E66" i="2"/>
  <c r="D65" i="2"/>
  <c r="P64" i="2"/>
  <c r="O64" i="2"/>
  <c r="N64" i="2"/>
  <c r="L64" i="2"/>
  <c r="K64" i="2"/>
  <c r="J64" i="2"/>
  <c r="I64" i="2"/>
  <c r="H64" i="2"/>
  <c r="G64" i="2"/>
  <c r="F64" i="2"/>
  <c r="L63" i="2"/>
  <c r="M63" i="2" s="1"/>
  <c r="P62" i="2"/>
  <c r="O62" i="2"/>
  <c r="N62" i="2"/>
  <c r="L62" i="2"/>
  <c r="K62" i="2"/>
  <c r="J62" i="2"/>
  <c r="I62" i="2"/>
  <c r="H62" i="2"/>
  <c r="G62" i="2"/>
  <c r="F62" i="2"/>
  <c r="E62" i="2"/>
  <c r="I60" i="2"/>
  <c r="I58" i="2" s="1"/>
  <c r="H60" i="2"/>
  <c r="G60" i="2"/>
  <c r="G58" i="2" s="1"/>
  <c r="E59" i="2"/>
  <c r="D59" i="2" s="1"/>
  <c r="P58" i="2"/>
  <c r="O58" i="2"/>
  <c r="N58" i="2"/>
  <c r="L58" i="2"/>
  <c r="K58" i="2"/>
  <c r="J58" i="2"/>
  <c r="F58" i="2"/>
  <c r="I57" i="2"/>
  <c r="I55" i="2" s="1"/>
  <c r="H57" i="2"/>
  <c r="G57" i="2"/>
  <c r="G55" i="2" s="1"/>
  <c r="N56" i="2"/>
  <c r="L56" i="2"/>
  <c r="P55" i="2"/>
  <c r="O55" i="2"/>
  <c r="K55" i="2"/>
  <c r="J55" i="2"/>
  <c r="H55" i="2"/>
  <c r="F55" i="2"/>
  <c r="R52" i="2"/>
  <c r="Q52" i="2"/>
  <c r="H52" i="2"/>
  <c r="G52" i="2"/>
  <c r="F52" i="2"/>
  <c r="R51" i="2"/>
  <c r="R31" i="2" s="1"/>
  <c r="Q51" i="2"/>
  <c r="Q31" i="2" s="1"/>
  <c r="P51" i="2"/>
  <c r="P31" i="2" s="1"/>
  <c r="M41" i="1" s="1"/>
  <c r="O51" i="2"/>
  <c r="O31" i="2" s="1"/>
  <c r="L41" i="1" s="1"/>
  <c r="N51" i="2"/>
  <c r="N31" i="2" s="1"/>
  <c r="K41" i="1" s="1"/>
  <c r="L51" i="2"/>
  <c r="L31" i="2" s="1"/>
  <c r="I41" i="1" s="1"/>
  <c r="K51" i="2"/>
  <c r="K31" i="2" s="1"/>
  <c r="H41" i="1" s="1"/>
  <c r="J51" i="2"/>
  <c r="I51" i="2"/>
  <c r="I31" i="2" s="1"/>
  <c r="F41" i="1" s="1"/>
  <c r="H51" i="2"/>
  <c r="G51" i="2"/>
  <c r="G50" i="2" s="1"/>
  <c r="F51" i="2"/>
  <c r="F31" i="2" s="1"/>
  <c r="C41" i="1" s="1"/>
  <c r="R48" i="2"/>
  <c r="R29" i="2" s="1"/>
  <c r="O39" i="1" s="1"/>
  <c r="O143" i="1" s="1"/>
  <c r="O205" i="1" s="1"/>
  <c r="Q48" i="2"/>
  <c r="Q29" i="2" s="1"/>
  <c r="N39" i="1" s="1"/>
  <c r="N143" i="1" s="1"/>
  <c r="N205" i="1" s="1"/>
  <c r="P48" i="2"/>
  <c r="P29" i="2" s="1"/>
  <c r="M39" i="1" s="1"/>
  <c r="M143" i="1" s="1"/>
  <c r="M205" i="1" s="1"/>
  <c r="O48" i="2"/>
  <c r="O29" i="2" s="1"/>
  <c r="L39" i="1" s="1"/>
  <c r="N48" i="2"/>
  <c r="N29" i="2" s="1"/>
  <c r="K39" i="1" s="1"/>
  <c r="K143" i="1" s="1"/>
  <c r="K205" i="1" s="1"/>
  <c r="K48" i="2"/>
  <c r="K29" i="2" s="1"/>
  <c r="H39" i="1" s="1"/>
  <c r="H143" i="1" s="1"/>
  <c r="H205" i="1" s="1"/>
  <c r="J48" i="2"/>
  <c r="J29" i="2" s="1"/>
  <c r="G39" i="1" s="1"/>
  <c r="G143" i="1" s="1"/>
  <c r="G205" i="1" s="1"/>
  <c r="I48" i="2"/>
  <c r="I29" i="2" s="1"/>
  <c r="F39" i="1" s="1"/>
  <c r="F143" i="1" s="1"/>
  <c r="F205" i="1" s="1"/>
  <c r="H48" i="2"/>
  <c r="H29" i="2" s="1"/>
  <c r="E39" i="1" s="1"/>
  <c r="E143" i="1" s="1"/>
  <c r="E205" i="1" s="1"/>
  <c r="G48" i="2"/>
  <c r="G29" i="2" s="1"/>
  <c r="D39" i="1" s="1"/>
  <c r="D143" i="1" s="1"/>
  <c r="D205" i="1" s="1"/>
  <c r="F48" i="2"/>
  <c r="F29" i="2" s="1"/>
  <c r="C39" i="1" s="1"/>
  <c r="C143" i="1" s="1"/>
  <c r="C205" i="1" s="1"/>
  <c r="R47" i="2"/>
  <c r="R28" i="2" s="1"/>
  <c r="O38" i="1" s="1"/>
  <c r="O142" i="1" s="1"/>
  <c r="O204" i="1" s="1"/>
  <c r="Q47" i="2"/>
  <c r="Q28" i="2" s="1"/>
  <c r="N38" i="1" s="1"/>
  <c r="N142" i="1" s="1"/>
  <c r="N204" i="1" s="1"/>
  <c r="P47" i="2"/>
  <c r="P28" i="2" s="1"/>
  <c r="M38" i="1" s="1"/>
  <c r="O47" i="2"/>
  <c r="O28" i="2" s="1"/>
  <c r="L38" i="1" s="1"/>
  <c r="K47" i="2"/>
  <c r="K28" i="2" s="1"/>
  <c r="H38" i="1" s="1"/>
  <c r="I47" i="2"/>
  <c r="I28" i="2" s="1"/>
  <c r="F38" i="1" s="1"/>
  <c r="H47" i="2"/>
  <c r="H28" i="2" s="1"/>
  <c r="E38" i="1" s="1"/>
  <c r="G47" i="2"/>
  <c r="G28" i="2" s="1"/>
  <c r="D38" i="1" s="1"/>
  <c r="F47" i="2"/>
  <c r="F28" i="2" s="1"/>
  <c r="C38" i="1" s="1"/>
  <c r="R46" i="2"/>
  <c r="Q46" i="2"/>
  <c r="P46" i="2"/>
  <c r="O46" i="2"/>
  <c r="N46" i="2"/>
  <c r="K46" i="2"/>
  <c r="J46" i="2"/>
  <c r="H46" i="2"/>
  <c r="G46" i="2"/>
  <c r="F46" i="2"/>
  <c r="R43" i="2"/>
  <c r="R42" i="2" s="1"/>
  <c r="Q43" i="2"/>
  <c r="Q42" i="2" s="1"/>
  <c r="P43" i="2"/>
  <c r="X43" i="2" s="1"/>
  <c r="O43" i="2"/>
  <c r="F43" i="2"/>
  <c r="F42" i="2" s="1"/>
  <c r="R40" i="2"/>
  <c r="R18" i="2" s="1"/>
  <c r="O23" i="1" s="1"/>
  <c r="Q40" i="2"/>
  <c r="Q18" i="2" s="1"/>
  <c r="N23" i="1" s="1"/>
  <c r="N128" i="1" s="1"/>
  <c r="N189" i="1" s="1"/>
  <c r="P40" i="2"/>
  <c r="O40" i="2"/>
  <c r="O18" i="2" s="1"/>
  <c r="L23" i="1" s="1"/>
  <c r="N40" i="2"/>
  <c r="N18" i="2" s="1"/>
  <c r="K23" i="1" s="1"/>
  <c r="K128" i="1" s="1"/>
  <c r="K189" i="1" s="1"/>
  <c r="L40" i="2"/>
  <c r="L18" i="2" s="1"/>
  <c r="I23" i="1" s="1"/>
  <c r="I128" i="1" s="1"/>
  <c r="I189" i="1" s="1"/>
  <c r="F40" i="2"/>
  <c r="F18" i="2" s="1"/>
  <c r="C23" i="1" s="1"/>
  <c r="C128" i="1" s="1"/>
  <c r="C189" i="1" s="1"/>
  <c r="R39" i="2"/>
  <c r="R16" i="2" s="1"/>
  <c r="O21" i="1" s="1"/>
  <c r="Q39" i="2"/>
  <c r="P39" i="2"/>
  <c r="O39" i="2"/>
  <c r="N39" i="2"/>
  <c r="N16" i="2" s="1"/>
  <c r="K21" i="1" s="1"/>
  <c r="L39" i="2"/>
  <c r="L16" i="2" s="1"/>
  <c r="I21" i="1" s="1"/>
  <c r="J39" i="2"/>
  <c r="J16" i="2" s="1"/>
  <c r="G21" i="1" s="1"/>
  <c r="G125" i="1" s="1"/>
  <c r="G186" i="1" s="1"/>
  <c r="I39" i="2"/>
  <c r="I16" i="2" s="1"/>
  <c r="F21" i="1" s="1"/>
  <c r="H39" i="2"/>
  <c r="H16" i="2" s="1"/>
  <c r="E21" i="1" s="1"/>
  <c r="E125" i="1" s="1"/>
  <c r="E186" i="1" s="1"/>
  <c r="G39" i="2"/>
  <c r="G16" i="2" s="1"/>
  <c r="D21" i="1" s="1"/>
  <c r="F39" i="2"/>
  <c r="F16" i="2" s="1"/>
  <c r="C21" i="1" s="1"/>
  <c r="C125" i="1" s="1"/>
  <c r="C186" i="1" s="1"/>
  <c r="Q38" i="2"/>
  <c r="P38" i="2"/>
  <c r="F38" i="2"/>
  <c r="R32" i="2"/>
  <c r="K32" i="2"/>
  <c r="J32" i="2"/>
  <c r="I32" i="2"/>
  <c r="H32" i="2"/>
  <c r="G32" i="2"/>
  <c r="F32" i="2"/>
  <c r="H37" i="1"/>
  <c r="R20" i="2"/>
  <c r="Q20" i="2"/>
  <c r="L20" i="2"/>
  <c r="K20" i="2"/>
  <c r="H20" i="2"/>
  <c r="G20" i="2"/>
  <c r="F20" i="2"/>
  <c r="H22" i="1"/>
  <c r="V69" i="1"/>
  <c r="P11" i="6" l="1"/>
  <c r="O125" i="1"/>
  <c r="O186" i="1" s="1"/>
  <c r="O128" i="1"/>
  <c r="O189" i="1" s="1"/>
  <c r="O130" i="1"/>
  <c r="O192" i="1" s="1"/>
  <c r="M72" i="1"/>
  <c r="D124" i="1"/>
  <c r="D190" i="1" s="1"/>
  <c r="G185" i="8"/>
  <c r="G184" i="8" s="1"/>
  <c r="O123" i="1"/>
  <c r="O185" i="1" s="1"/>
  <c r="H11" i="7"/>
  <c r="E313" i="2"/>
  <c r="M322" i="2"/>
  <c r="M320" i="2" s="1"/>
  <c r="E320" i="2"/>
  <c r="E319" i="2" s="1"/>
  <c r="D136" i="1"/>
  <c r="D198" i="1" s="1"/>
  <c r="D209" i="1" s="1"/>
  <c r="J151" i="2"/>
  <c r="E82" i="2"/>
  <c r="G82" i="2"/>
  <c r="I82" i="2"/>
  <c r="L82" i="2"/>
  <c r="F82" i="2"/>
  <c r="H82" i="2"/>
  <c r="J82" i="2"/>
  <c r="N145" i="2"/>
  <c r="M216" i="2"/>
  <c r="D216" i="2" s="1"/>
  <c r="I435" i="2"/>
  <c r="Q37" i="2"/>
  <c r="Q36" i="2" s="1"/>
  <c r="O7" i="10" s="1"/>
  <c r="G40" i="2"/>
  <c r="G18" i="2" s="1"/>
  <c r="D23" i="1" s="1"/>
  <c r="D128" i="1" s="1"/>
  <c r="D189" i="1" s="1"/>
  <c r="E39" i="2"/>
  <c r="E16" i="2" s="1"/>
  <c r="B21" i="1" s="1"/>
  <c r="M290" i="2"/>
  <c r="E289" i="2"/>
  <c r="M293" i="2"/>
  <c r="D293" i="2" s="1"/>
  <c r="H138" i="1"/>
  <c r="H200" i="1" s="1"/>
  <c r="H126" i="1"/>
  <c r="H187" i="1" s="1"/>
  <c r="B123" i="1"/>
  <c r="B185" i="1" s="1"/>
  <c r="D123" i="1"/>
  <c r="D185" i="1" s="1"/>
  <c r="E33" i="1"/>
  <c r="D64" i="1"/>
  <c r="J20" i="6"/>
  <c r="L20" i="6"/>
  <c r="L26" i="6"/>
  <c r="M98" i="6"/>
  <c r="D98" i="6" s="1"/>
  <c r="D97" i="6" s="1"/>
  <c r="M103" i="6"/>
  <c r="D103" i="6" s="1"/>
  <c r="M109" i="6"/>
  <c r="D109" i="6" s="1"/>
  <c r="D108" i="6" s="1"/>
  <c r="M112" i="6"/>
  <c r="D112" i="6" s="1"/>
  <c r="M261" i="6"/>
  <c r="D261" i="6" s="1"/>
  <c r="M82" i="6"/>
  <c r="M150" i="2"/>
  <c r="D150" i="2" s="1"/>
  <c r="M517" i="2"/>
  <c r="D517" i="2" s="1"/>
  <c r="E123" i="1"/>
  <c r="E185" i="1" s="1"/>
  <c r="P37" i="2"/>
  <c r="R37" i="2"/>
  <c r="D125" i="1"/>
  <c r="D186" i="1" s="1"/>
  <c r="F125" i="1"/>
  <c r="F186" i="1" s="1"/>
  <c r="C123" i="1"/>
  <c r="C185" i="1" s="1"/>
  <c r="O63" i="1"/>
  <c r="O62" i="1" s="1"/>
  <c r="O84" i="1" s="1"/>
  <c r="M153" i="2"/>
  <c r="D153" i="2" s="1"/>
  <c r="M155" i="2"/>
  <c r="D155" i="2" s="1"/>
  <c r="M172" i="2"/>
  <c r="D172" i="2" s="1"/>
  <c r="M187" i="2"/>
  <c r="D187" i="2" s="1"/>
  <c r="M241" i="2"/>
  <c r="D241" i="2" s="1"/>
  <c r="M218" i="2"/>
  <c r="D218" i="2" s="1"/>
  <c r="M397" i="2"/>
  <c r="D397" i="2" s="1"/>
  <c r="D380" i="2" s="1"/>
  <c r="D27" i="2" s="1"/>
  <c r="M400" i="2"/>
  <c r="D400" i="2" s="1"/>
  <c r="D398" i="2" s="1"/>
  <c r="M410" i="2"/>
  <c r="D410" i="2" s="1"/>
  <c r="H434" i="2"/>
  <c r="H433" i="2" s="1"/>
  <c r="M456" i="2"/>
  <c r="D456" i="2" s="1"/>
  <c r="D455" i="2" s="1"/>
  <c r="D454" i="2" s="1"/>
  <c r="F14" i="2"/>
  <c r="F37" i="2"/>
  <c r="F36" i="2" s="1"/>
  <c r="F26" i="2"/>
  <c r="C36" i="1" s="1"/>
  <c r="C137" i="1" s="1"/>
  <c r="C199" i="1" s="1"/>
  <c r="F45" i="2"/>
  <c r="H26" i="2"/>
  <c r="E36" i="1" s="1"/>
  <c r="E137" i="1" s="1"/>
  <c r="E199" i="1" s="1"/>
  <c r="H45" i="2"/>
  <c r="K26" i="2"/>
  <c r="H36" i="1" s="1"/>
  <c r="H137" i="1" s="1"/>
  <c r="H199" i="1" s="1"/>
  <c r="K45" i="2"/>
  <c r="O26" i="2"/>
  <c r="L36" i="1" s="1"/>
  <c r="L137" i="1" s="1"/>
  <c r="L199" i="1" s="1"/>
  <c r="O45" i="2"/>
  <c r="Q26" i="2"/>
  <c r="N36" i="1" s="1"/>
  <c r="N137" i="1" s="1"/>
  <c r="N199" i="1" s="1"/>
  <c r="Q45" i="2"/>
  <c r="F17" i="2"/>
  <c r="C22" i="1" s="1"/>
  <c r="C126" i="1" s="1"/>
  <c r="C187" i="1" s="1"/>
  <c r="H17" i="2"/>
  <c r="E22" i="1" s="1"/>
  <c r="E126" i="1" s="1"/>
  <c r="E187" i="1" s="1"/>
  <c r="J17" i="2"/>
  <c r="G22" i="1" s="1"/>
  <c r="G126" i="1" s="1"/>
  <c r="G187" i="1" s="1"/>
  <c r="N17" i="2"/>
  <c r="K126" i="1" s="1"/>
  <c r="K187" i="1" s="1"/>
  <c r="R17" i="2"/>
  <c r="F27" i="2"/>
  <c r="C37" i="1" s="1"/>
  <c r="C138" i="1" s="1"/>
  <c r="C200" i="1" s="1"/>
  <c r="H27" i="2"/>
  <c r="E37" i="1" s="1"/>
  <c r="E138" i="1" s="1"/>
  <c r="E200" i="1" s="1"/>
  <c r="J27" i="2"/>
  <c r="G37" i="1" s="1"/>
  <c r="G138" i="1" s="1"/>
  <c r="G200" i="1" s="1"/>
  <c r="O27" i="2"/>
  <c r="L37" i="1" s="1"/>
  <c r="L138" i="1" s="1"/>
  <c r="L200" i="1" s="1"/>
  <c r="G26" i="2"/>
  <c r="D36" i="1" s="1"/>
  <c r="D137" i="1" s="1"/>
  <c r="D199" i="1" s="1"/>
  <c r="G45" i="2"/>
  <c r="J26" i="2"/>
  <c r="G36" i="1" s="1"/>
  <c r="G137" i="1" s="1"/>
  <c r="G199" i="1" s="1"/>
  <c r="J45" i="2"/>
  <c r="N26" i="2"/>
  <c r="K36" i="1" s="1"/>
  <c r="P26" i="2"/>
  <c r="M36" i="1" s="1"/>
  <c r="M137" i="1" s="1"/>
  <c r="M199" i="1" s="1"/>
  <c r="P45" i="2"/>
  <c r="R26" i="2"/>
  <c r="O36" i="1" s="1"/>
  <c r="O137" i="1" s="1"/>
  <c r="O199" i="1" s="1"/>
  <c r="R45" i="2"/>
  <c r="M56" i="2"/>
  <c r="D56" i="2" s="1"/>
  <c r="M96" i="2"/>
  <c r="D96" i="2" s="1"/>
  <c r="M101" i="2"/>
  <c r="D101" i="2" s="1"/>
  <c r="M104" i="2"/>
  <c r="D104" i="2" s="1"/>
  <c r="M107" i="2"/>
  <c r="D107" i="2" s="1"/>
  <c r="I26" i="2"/>
  <c r="F36" i="1" s="1"/>
  <c r="F137" i="1" s="1"/>
  <c r="F199" i="1" s="1"/>
  <c r="I45" i="2"/>
  <c r="M286" i="2"/>
  <c r="D286" i="2" s="1"/>
  <c r="D285" i="2" s="1"/>
  <c r="D282" i="2" s="1"/>
  <c r="D128" i="2"/>
  <c r="L145" i="2"/>
  <c r="M166" i="2"/>
  <c r="D166" i="2" s="1"/>
  <c r="E17" i="2"/>
  <c r="B22" i="1" s="1"/>
  <c r="B126" i="1" s="1"/>
  <c r="B187" i="1" s="1"/>
  <c r="G17" i="2"/>
  <c r="D22" i="1" s="1"/>
  <c r="D126" i="1" s="1"/>
  <c r="D187" i="1" s="1"/>
  <c r="I17" i="2"/>
  <c r="F22" i="1" s="1"/>
  <c r="F126" i="1" s="1"/>
  <c r="F187" i="1" s="1"/>
  <c r="Q17" i="2"/>
  <c r="E27" i="2"/>
  <c r="B37" i="1" s="1"/>
  <c r="B138" i="1" s="1"/>
  <c r="B200" i="1" s="1"/>
  <c r="G27" i="2"/>
  <c r="D37" i="1" s="1"/>
  <c r="I27" i="2"/>
  <c r="F37" i="1" s="1"/>
  <c r="F138" i="1" s="1"/>
  <c r="F200" i="1" s="1"/>
  <c r="P27" i="2"/>
  <c r="M37" i="1" s="1"/>
  <c r="L17" i="2"/>
  <c r="I22" i="1" s="1"/>
  <c r="I126" i="1" s="1"/>
  <c r="I187" i="1" s="1"/>
  <c r="X9" i="13"/>
  <c r="K79" i="9"/>
  <c r="D82" i="9"/>
  <c r="E229" i="2"/>
  <c r="E224" i="2" s="1"/>
  <c r="M230" i="2"/>
  <c r="E235" i="2"/>
  <c r="E231" i="2" s="1"/>
  <c r="M237" i="2"/>
  <c r="M255" i="2"/>
  <c r="E99" i="2"/>
  <c r="E98" i="2" s="1"/>
  <c r="M100" i="2"/>
  <c r="D100" i="2" s="1"/>
  <c r="E116" i="2"/>
  <c r="M117" i="2"/>
  <c r="D117" i="2" s="1"/>
  <c r="K39" i="2"/>
  <c r="K16" i="2" s="1"/>
  <c r="H21" i="1" s="1"/>
  <c r="H125" i="1" s="1"/>
  <c r="H186" i="1" s="1"/>
  <c r="M148" i="2"/>
  <c r="D148" i="2" s="1"/>
  <c r="M159" i="2"/>
  <c r="D159" i="2" s="1"/>
  <c r="E163" i="2"/>
  <c r="M164" i="2"/>
  <c r="D164" i="2" s="1"/>
  <c r="M170" i="2"/>
  <c r="D170" i="2" s="1"/>
  <c r="D169" i="2" s="1"/>
  <c r="E178" i="2"/>
  <c r="E177" i="2" s="1"/>
  <c r="M179" i="2"/>
  <c r="D179" i="2" s="1"/>
  <c r="E242" i="2"/>
  <c r="M243" i="2"/>
  <c r="D243" i="2" s="1"/>
  <c r="E333" i="2"/>
  <c r="M342" i="2"/>
  <c r="D342" i="2" s="1"/>
  <c r="D333" i="2" s="1"/>
  <c r="E404" i="2"/>
  <c r="M405" i="2"/>
  <c r="E375" i="2"/>
  <c r="E374" i="2" s="1"/>
  <c r="M407" i="2"/>
  <c r="D407" i="2" s="1"/>
  <c r="D375" i="2" s="1"/>
  <c r="J499" i="2"/>
  <c r="J498" i="2" s="1"/>
  <c r="M500" i="2"/>
  <c r="D500" i="2" s="1"/>
  <c r="L532" i="2"/>
  <c r="L531" i="2" s="1"/>
  <c r="M533" i="2"/>
  <c r="D533" i="2" s="1"/>
  <c r="M39" i="10"/>
  <c r="O39" i="10"/>
  <c r="L101" i="1"/>
  <c r="N138" i="1"/>
  <c r="N200" i="1" s="1"/>
  <c r="D63" i="2"/>
  <c r="M66" i="2"/>
  <c r="D66" i="2" s="1"/>
  <c r="D64" i="2" s="1"/>
  <c r="P68" i="2"/>
  <c r="G75" i="2"/>
  <c r="I75" i="2"/>
  <c r="M84" i="2"/>
  <c r="D84" i="2" s="1"/>
  <c r="K40" i="2"/>
  <c r="K18" i="2" s="1"/>
  <c r="H23" i="1" s="1"/>
  <c r="H128" i="1" s="1"/>
  <c r="H189" i="1" s="1"/>
  <c r="M85" i="2"/>
  <c r="D85" i="2" s="1"/>
  <c r="E119" i="2"/>
  <c r="M120" i="2"/>
  <c r="D120" i="2" s="1"/>
  <c r="D119" i="2" s="1"/>
  <c r="M122" i="2"/>
  <c r="D122" i="2" s="1"/>
  <c r="D274" i="2"/>
  <c r="D273" i="2" s="1"/>
  <c r="M273" i="2"/>
  <c r="M270" i="2" s="1"/>
  <c r="E125" i="2"/>
  <c r="E124" i="2" s="1"/>
  <c r="E130" i="2"/>
  <c r="E129" i="2" s="1"/>
  <c r="D131" i="2"/>
  <c r="M147" i="2"/>
  <c r="D147" i="2" s="1"/>
  <c r="K158" i="2"/>
  <c r="E160" i="2"/>
  <c r="E157" i="2" s="1"/>
  <c r="M161" i="2"/>
  <c r="D161" i="2" s="1"/>
  <c r="G168" i="2"/>
  <c r="K169" i="2"/>
  <c r="K168" i="2" s="1"/>
  <c r="E174" i="2"/>
  <c r="E173" i="2" s="1"/>
  <c r="M175" i="2"/>
  <c r="D175" i="2" s="1"/>
  <c r="E184" i="2"/>
  <c r="E183" i="2" s="1"/>
  <c r="M185" i="2"/>
  <c r="D185" i="2" s="1"/>
  <c r="M200" i="2"/>
  <c r="D200" i="2" s="1"/>
  <c r="M212" i="2"/>
  <c r="D212" i="2" s="1"/>
  <c r="E328" i="2"/>
  <c r="E327" i="2" s="1"/>
  <c r="M337" i="2"/>
  <c r="D339" i="2"/>
  <c r="D330" i="2" s="1"/>
  <c r="O385" i="2"/>
  <c r="D423" i="2"/>
  <c r="D414" i="2" s="1"/>
  <c r="M414" i="2"/>
  <c r="M413" i="2" s="1"/>
  <c r="M412" i="2" s="1"/>
  <c r="K38" i="10" s="1"/>
  <c r="M422" i="2"/>
  <c r="M421" i="2" s="1"/>
  <c r="M428" i="2"/>
  <c r="E483" i="2"/>
  <c r="E482" i="2" s="1"/>
  <c r="M484" i="2"/>
  <c r="D484" i="2" s="1"/>
  <c r="E487" i="2"/>
  <c r="E486" i="2" s="1"/>
  <c r="M488" i="2"/>
  <c r="D488" i="2" s="1"/>
  <c r="D487" i="2" s="1"/>
  <c r="D486" i="2" s="1"/>
  <c r="K524" i="2"/>
  <c r="K523" i="2" s="1"/>
  <c r="M525" i="2"/>
  <c r="D525" i="2" s="1"/>
  <c r="N39" i="10"/>
  <c r="K101" i="1"/>
  <c r="O138" i="1"/>
  <c r="O200" i="1" s="1"/>
  <c r="M81" i="3"/>
  <c r="D81" i="3" s="1"/>
  <c r="D79" i="3" s="1"/>
  <c r="L14" i="3"/>
  <c r="M86" i="3"/>
  <c r="D86" i="3" s="1"/>
  <c r="L19" i="3"/>
  <c r="L18" i="3" s="1"/>
  <c r="L17" i="3" s="1"/>
  <c r="K190" i="3"/>
  <c r="K16" i="3"/>
  <c r="K15" i="3" s="1"/>
  <c r="K11" i="3" s="1"/>
  <c r="N190" i="3"/>
  <c r="N16" i="3"/>
  <c r="N15" i="3" s="1"/>
  <c r="N11" i="3" s="1"/>
  <c r="K195" i="3"/>
  <c r="K21" i="3"/>
  <c r="K20" i="3" s="1"/>
  <c r="K17" i="3" s="1"/>
  <c r="M208" i="3"/>
  <c r="E55" i="3"/>
  <c r="I115" i="3"/>
  <c r="L12" i="3"/>
  <c r="H118" i="3"/>
  <c r="L16" i="3"/>
  <c r="L15" i="3" s="1"/>
  <c r="I121" i="3"/>
  <c r="I19" i="3"/>
  <c r="I18" i="3" s="1"/>
  <c r="I17" i="3" s="1"/>
  <c r="J123" i="3"/>
  <c r="J21" i="3"/>
  <c r="J20" i="3" s="1"/>
  <c r="J17" i="3" s="1"/>
  <c r="O21" i="3"/>
  <c r="O20" i="3" s="1"/>
  <c r="O17" i="3" s="1"/>
  <c r="M191" i="3"/>
  <c r="L13" i="9"/>
  <c r="M42" i="9"/>
  <c r="O19" i="9"/>
  <c r="D70" i="9"/>
  <c r="M47" i="9"/>
  <c r="M60" i="9"/>
  <c r="D60" i="9" s="1"/>
  <c r="M67" i="9"/>
  <c r="I79" i="9"/>
  <c r="H13" i="8"/>
  <c r="O36" i="8"/>
  <c r="M38" i="8"/>
  <c r="M39" i="8"/>
  <c r="M71" i="8"/>
  <c r="D71" i="8" s="1"/>
  <c r="M76" i="8"/>
  <c r="D76" i="8" s="1"/>
  <c r="M78" i="8"/>
  <c r="D78" i="8" s="1"/>
  <c r="M95" i="8"/>
  <c r="D95" i="8" s="1"/>
  <c r="M103" i="8"/>
  <c r="J106" i="8"/>
  <c r="J127" i="8"/>
  <c r="M131" i="8"/>
  <c r="D131" i="8" s="1"/>
  <c r="E160" i="8"/>
  <c r="E185" i="8"/>
  <c r="E184" i="8" s="1"/>
  <c r="I185" i="8"/>
  <c r="I184" i="8" s="1"/>
  <c r="F185" i="8"/>
  <c r="F184" i="8" s="1"/>
  <c r="C71" i="1"/>
  <c r="C124" i="1" s="1"/>
  <c r="C190" i="1" s="1"/>
  <c r="H185" i="8"/>
  <c r="H184" i="8" s="1"/>
  <c r="E71" i="1"/>
  <c r="J185" i="8"/>
  <c r="J184" i="8" s="1"/>
  <c r="G71" i="1"/>
  <c r="G124" i="1" s="1"/>
  <c r="G190" i="1" s="1"/>
  <c r="L185" i="8"/>
  <c r="L184" i="8" s="1"/>
  <c r="I71" i="1"/>
  <c r="I124" i="1" s="1"/>
  <c r="I190" i="1" s="1"/>
  <c r="O185" i="8"/>
  <c r="O184" i="8" s="1"/>
  <c r="L71" i="1"/>
  <c r="F192" i="8"/>
  <c r="F191" i="8" s="1"/>
  <c r="C80" i="1"/>
  <c r="H192" i="8"/>
  <c r="H191" i="8" s="1"/>
  <c r="E80" i="1"/>
  <c r="J192" i="8"/>
  <c r="J191" i="8" s="1"/>
  <c r="G80" i="1"/>
  <c r="E124" i="1"/>
  <c r="E190" i="1" s="1"/>
  <c r="E192" i="8"/>
  <c r="E191" i="8" s="1"/>
  <c r="B80" i="1"/>
  <c r="D71" i="7"/>
  <c r="M69" i="7"/>
  <c r="D73" i="7"/>
  <c r="M72" i="7"/>
  <c r="G17" i="7"/>
  <c r="I23" i="7"/>
  <c r="L23" i="7"/>
  <c r="J26" i="7"/>
  <c r="J23" i="7" s="1"/>
  <c r="P32" i="7"/>
  <c r="R32" i="7"/>
  <c r="M37" i="7"/>
  <c r="D37" i="7" s="1"/>
  <c r="M42" i="7"/>
  <c r="D42" i="7" s="1"/>
  <c r="M46" i="7"/>
  <c r="D46" i="7" s="1"/>
  <c r="E48" i="7"/>
  <c r="K51" i="7"/>
  <c r="M58" i="7"/>
  <c r="D58" i="7" s="1"/>
  <c r="Q62" i="7"/>
  <c r="D76" i="7"/>
  <c r="M75" i="7"/>
  <c r="D78" i="7"/>
  <c r="M77" i="7"/>
  <c r="M74" i="7" s="1"/>
  <c r="M85" i="7"/>
  <c r="D85" i="7" s="1"/>
  <c r="P91" i="6"/>
  <c r="P90" i="6" s="1"/>
  <c r="F94" i="6"/>
  <c r="D30" i="10" s="1"/>
  <c r="H94" i="6"/>
  <c r="F30" i="10" s="1"/>
  <c r="K95" i="6"/>
  <c r="M96" i="6"/>
  <c r="D96" i="6" s="1"/>
  <c r="M101" i="6"/>
  <c r="D101" i="6" s="1"/>
  <c r="M257" i="6"/>
  <c r="J71" i="1"/>
  <c r="D266" i="6"/>
  <c r="D269" i="6"/>
  <c r="J80" i="1"/>
  <c r="U80" i="1" s="1"/>
  <c r="I26" i="6"/>
  <c r="I25" i="6" s="1"/>
  <c r="M92" i="6"/>
  <c r="D92" i="6" s="1"/>
  <c r="D91" i="6" s="1"/>
  <c r="D90" i="6" s="1"/>
  <c r="J15" i="6"/>
  <c r="M107" i="6"/>
  <c r="M37" i="5"/>
  <c r="M17" i="5" s="1"/>
  <c r="L17" i="5"/>
  <c r="M42" i="5"/>
  <c r="L20" i="5"/>
  <c r="M106" i="5"/>
  <c r="M68" i="5" s="1"/>
  <c r="M66" i="5" s="1"/>
  <c r="L68" i="5"/>
  <c r="L66" i="5" s="1"/>
  <c r="D58" i="4"/>
  <c r="M19" i="4"/>
  <c r="D64" i="4"/>
  <c r="M25" i="4"/>
  <c r="F93" i="4"/>
  <c r="F23" i="4"/>
  <c r="C76" i="1"/>
  <c r="C136" i="1" s="1"/>
  <c r="C198" i="1" s="1"/>
  <c r="C209" i="1" s="1"/>
  <c r="H23" i="4"/>
  <c r="E76" i="1"/>
  <c r="J23" i="4"/>
  <c r="G76" i="1"/>
  <c r="D57" i="4"/>
  <c r="M18" i="4"/>
  <c r="J69" i="1" s="1"/>
  <c r="D63" i="4"/>
  <c r="M24" i="4"/>
  <c r="J76" i="1" s="1"/>
  <c r="U76" i="1" s="1"/>
  <c r="L10" i="13"/>
  <c r="L9" i="13" s="1"/>
  <c r="J10" i="13"/>
  <c r="J9" i="13" s="1"/>
  <c r="L128" i="1"/>
  <c r="L189" i="1" s="1"/>
  <c r="M131" i="3"/>
  <c r="M18" i="13"/>
  <c r="M17" i="13" s="1"/>
  <c r="C70" i="1"/>
  <c r="C63" i="1" s="1"/>
  <c r="C62" i="1" s="1"/>
  <c r="C84" i="1" s="1"/>
  <c r="F70" i="5"/>
  <c r="F69" i="5" s="1"/>
  <c r="E70" i="1"/>
  <c r="E63" i="1" s="1"/>
  <c r="E62" i="1" s="1"/>
  <c r="E84" i="1" s="1"/>
  <c r="H70" i="5"/>
  <c r="H69" i="5" s="1"/>
  <c r="G70" i="1"/>
  <c r="J70" i="5"/>
  <c r="J69" i="5" s="1"/>
  <c r="M70" i="1"/>
  <c r="P70" i="5"/>
  <c r="B70" i="1"/>
  <c r="E70" i="5"/>
  <c r="E69" i="5" s="1"/>
  <c r="D70" i="1"/>
  <c r="G70" i="5"/>
  <c r="G69" i="5" s="1"/>
  <c r="F70" i="1"/>
  <c r="H70" i="1"/>
  <c r="K70" i="5"/>
  <c r="K69" i="5" s="1"/>
  <c r="L70" i="1"/>
  <c r="O70" i="5"/>
  <c r="O69" i="5" s="1"/>
  <c r="N70" i="1"/>
  <c r="Q70" i="5"/>
  <c r="Q69" i="5" s="1"/>
  <c r="N70" i="5"/>
  <c r="N69" i="5" s="1"/>
  <c r="X15" i="9"/>
  <c r="X14" i="9" s="1"/>
  <c r="P18" i="9"/>
  <c r="P17" i="9" s="1"/>
  <c r="R18" i="9"/>
  <c r="R17" i="9" s="1"/>
  <c r="N18" i="9"/>
  <c r="N17" i="9" s="1"/>
  <c r="Q18" i="9"/>
  <c r="Q17" i="9" s="1"/>
  <c r="N10" i="13"/>
  <c r="N9" i="13" s="1"/>
  <c r="D21" i="13"/>
  <c r="L68" i="1"/>
  <c r="E467" i="2"/>
  <c r="E466" i="2" s="1"/>
  <c r="M468" i="2"/>
  <c r="D468" i="2" s="1"/>
  <c r="L95" i="5"/>
  <c r="D37" i="5"/>
  <c r="D17" i="5" s="1"/>
  <c r="N79" i="1"/>
  <c r="N139" i="1" s="1"/>
  <c r="N201" i="1" s="1"/>
  <c r="M75" i="5"/>
  <c r="D96" i="5"/>
  <c r="D75" i="5" s="1"/>
  <c r="D74" i="5" s="1"/>
  <c r="D106" i="5"/>
  <c r="M105" i="5"/>
  <c r="C79" i="1"/>
  <c r="C139" i="1" s="1"/>
  <c r="C201" i="1" s="1"/>
  <c r="E79" i="1"/>
  <c r="E139" i="1" s="1"/>
  <c r="E201" i="1" s="1"/>
  <c r="X72" i="5"/>
  <c r="B79" i="1"/>
  <c r="B139" i="1" s="1"/>
  <c r="B201" i="1" s="1"/>
  <c r="M79" i="1"/>
  <c r="M139" i="1" s="1"/>
  <c r="M201" i="1" s="1"/>
  <c r="D79" i="1"/>
  <c r="D139" i="1" s="1"/>
  <c r="D201" i="1" s="1"/>
  <c r="O8" i="9"/>
  <c r="O44" i="7"/>
  <c r="G19" i="1"/>
  <c r="G123" i="1" s="1"/>
  <c r="G185" i="1" s="1"/>
  <c r="E27" i="3"/>
  <c r="E26" i="3" s="1"/>
  <c r="M28" i="3"/>
  <c r="D28" i="3" s="1"/>
  <c r="L60" i="3"/>
  <c r="E66" i="3"/>
  <c r="G66" i="3"/>
  <c r="M117" i="3"/>
  <c r="D117" i="3" s="1"/>
  <c r="K186" i="3"/>
  <c r="N186" i="3"/>
  <c r="D208" i="3"/>
  <c r="D211" i="3" s="1"/>
  <c r="M207" i="3"/>
  <c r="L24" i="3"/>
  <c r="L23" i="3" s="1"/>
  <c r="M25" i="3"/>
  <c r="D25" i="3" s="1"/>
  <c r="O39" i="3"/>
  <c r="D40" i="3"/>
  <c r="N75" i="3"/>
  <c r="M76" i="3"/>
  <c r="M122" i="3"/>
  <c r="D122" i="3" s="1"/>
  <c r="E130" i="3"/>
  <c r="P180" i="3"/>
  <c r="L190" i="3"/>
  <c r="D191" i="3"/>
  <c r="M196" i="3"/>
  <c r="D196" i="3" s="1"/>
  <c r="L135" i="1"/>
  <c r="L197" i="1" s="1"/>
  <c r="E30" i="8"/>
  <c r="I44" i="8"/>
  <c r="H69" i="8"/>
  <c r="F113" i="8"/>
  <c r="Q82" i="8"/>
  <c r="G82" i="8"/>
  <c r="O154" i="8"/>
  <c r="J160" i="8"/>
  <c r="L160" i="8"/>
  <c r="O160" i="8"/>
  <c r="Q160" i="8"/>
  <c r="J18" i="7"/>
  <c r="G79" i="1"/>
  <c r="G139" i="1" s="1"/>
  <c r="G201" i="1" s="1"/>
  <c r="I15" i="7"/>
  <c r="F73" i="1"/>
  <c r="F72" i="1" s="1"/>
  <c r="K15" i="7"/>
  <c r="H73" i="1"/>
  <c r="H72" i="1" s="1"/>
  <c r="I18" i="7"/>
  <c r="F79" i="1"/>
  <c r="F139" i="1" s="1"/>
  <c r="F201" i="1" s="1"/>
  <c r="K18" i="7"/>
  <c r="H79" i="1"/>
  <c r="H139" i="1" s="1"/>
  <c r="H201" i="1" s="1"/>
  <c r="I85" i="6"/>
  <c r="I84" i="6" s="1"/>
  <c r="M71" i="1"/>
  <c r="V71" i="1" s="1"/>
  <c r="X250" i="6"/>
  <c r="F26" i="4"/>
  <c r="C82" i="1"/>
  <c r="C81" i="1" s="1"/>
  <c r="H26" i="4"/>
  <c r="E82" i="1"/>
  <c r="E81" i="1" s="1"/>
  <c r="P26" i="4"/>
  <c r="M82" i="1"/>
  <c r="M81" i="1" s="1"/>
  <c r="F40" i="4"/>
  <c r="H40" i="4"/>
  <c r="J40" i="4"/>
  <c r="E26" i="4"/>
  <c r="B82" i="1"/>
  <c r="B81" i="1" s="1"/>
  <c r="G26" i="4"/>
  <c r="D82" i="1"/>
  <c r="D81" i="1" s="1"/>
  <c r="O26" i="4"/>
  <c r="L82" i="1"/>
  <c r="H93" i="4"/>
  <c r="N33" i="1"/>
  <c r="N136" i="1" s="1"/>
  <c r="N198" i="1" s="1"/>
  <c r="F54" i="3"/>
  <c r="H54" i="3"/>
  <c r="K54" i="3"/>
  <c r="F142" i="1"/>
  <c r="F204" i="1" s="1"/>
  <c r="H142" i="1"/>
  <c r="H204" i="1" s="1"/>
  <c r="M142" i="1"/>
  <c r="M204" i="1" s="1"/>
  <c r="D28" i="1"/>
  <c r="D127" i="1" s="1"/>
  <c r="D188" i="1" s="1"/>
  <c r="H28" i="1"/>
  <c r="H127" i="1" s="1"/>
  <c r="H188" i="1" s="1"/>
  <c r="K28" i="1"/>
  <c r="K127" i="1" s="1"/>
  <c r="K188" i="1" s="1"/>
  <c r="O28" i="1"/>
  <c r="O127" i="1" s="1"/>
  <c r="O188" i="1" s="1"/>
  <c r="D44" i="1"/>
  <c r="D144" i="1" s="1"/>
  <c r="D206" i="1" s="1"/>
  <c r="F44" i="1"/>
  <c r="F144" i="1" s="1"/>
  <c r="F206" i="1" s="1"/>
  <c r="L143" i="1"/>
  <c r="L205" i="1" s="1"/>
  <c r="C142" i="1"/>
  <c r="C204" i="1" s="1"/>
  <c r="L142" i="1"/>
  <c r="L204" i="1" s="1"/>
  <c r="X375" i="2"/>
  <c r="M136" i="1"/>
  <c r="M198" i="1" s="1"/>
  <c r="L145" i="1"/>
  <c r="L207" i="1" s="1"/>
  <c r="U42" i="1"/>
  <c r="U145" i="1" s="1"/>
  <c r="U207" i="1" s="1"/>
  <c r="N440" i="2"/>
  <c r="K77" i="1"/>
  <c r="C28" i="1"/>
  <c r="C127" i="1" s="1"/>
  <c r="C188" i="1" s="1"/>
  <c r="E28" i="1"/>
  <c r="E127" i="1" s="1"/>
  <c r="E188" i="1" s="1"/>
  <c r="N28" i="1"/>
  <c r="N127" i="1" s="1"/>
  <c r="N188" i="1" s="1"/>
  <c r="C44" i="1"/>
  <c r="C144" i="1" s="1"/>
  <c r="C206" i="1" s="1"/>
  <c r="E44" i="1"/>
  <c r="E144" i="1" s="1"/>
  <c r="E206" i="1" s="1"/>
  <c r="G44" i="1"/>
  <c r="G144" i="1" s="1"/>
  <c r="G206" i="1" s="1"/>
  <c r="O44" i="1"/>
  <c r="O144" i="1" s="1"/>
  <c r="L33" i="1"/>
  <c r="L136" i="1" s="1"/>
  <c r="B140" i="1"/>
  <c r="B202" i="1" s="1"/>
  <c r="D140" i="1"/>
  <c r="D202" i="1" s="1"/>
  <c r="F140" i="1"/>
  <c r="F202" i="1" s="1"/>
  <c r="D141" i="1"/>
  <c r="D203" i="1" s="1"/>
  <c r="H141" i="1"/>
  <c r="H203" i="1" s="1"/>
  <c r="J146" i="8"/>
  <c r="L146" i="8"/>
  <c r="O146" i="8"/>
  <c r="F24" i="8"/>
  <c r="C35" i="1"/>
  <c r="E140" i="1"/>
  <c r="E202" i="1" s="1"/>
  <c r="H140" i="1"/>
  <c r="H202" i="1" s="1"/>
  <c r="G30" i="8"/>
  <c r="F30" i="8"/>
  <c r="C43" i="1"/>
  <c r="H30" i="8"/>
  <c r="E43" i="1"/>
  <c r="I106" i="8"/>
  <c r="G14" i="5"/>
  <c r="I14" i="5"/>
  <c r="K14" i="5"/>
  <c r="O14" i="5"/>
  <c r="Q14" i="5"/>
  <c r="F14" i="5"/>
  <c r="F13" i="5" s="1"/>
  <c r="H14" i="5"/>
  <c r="H13" i="5" s="1"/>
  <c r="J14" i="5"/>
  <c r="J13" i="5" s="1"/>
  <c r="L14" i="5"/>
  <c r="P14" i="5"/>
  <c r="P13" i="5" s="1"/>
  <c r="V20" i="1"/>
  <c r="V26" i="1"/>
  <c r="M67" i="4"/>
  <c r="D68" i="4"/>
  <c r="D74" i="4"/>
  <c r="D73" i="4" s="1"/>
  <c r="L93" i="4"/>
  <c r="M109" i="4"/>
  <c r="K12" i="4"/>
  <c r="D43" i="4"/>
  <c r="E21" i="4"/>
  <c r="M46" i="4"/>
  <c r="E12" i="4"/>
  <c r="E10" i="4" s="1"/>
  <c r="M56" i="4"/>
  <c r="D56" i="4" s="1"/>
  <c r="M70" i="4"/>
  <c r="D71" i="4"/>
  <c r="M75" i="4"/>
  <c r="M72" i="4" s="1"/>
  <c r="D76" i="4"/>
  <c r="M98" i="4"/>
  <c r="D10" i="13"/>
  <c r="D9" i="13" s="1"/>
  <c r="D18" i="13"/>
  <c r="D17" i="13" s="1"/>
  <c r="K10" i="13"/>
  <c r="K9" i="13" s="1"/>
  <c r="I32" i="10"/>
  <c r="I40" i="9"/>
  <c r="E31" i="9"/>
  <c r="E10" i="9" s="1"/>
  <c r="G31" i="9"/>
  <c r="G10" i="9" s="1"/>
  <c r="I31" i="9"/>
  <c r="I10" i="9" s="1"/>
  <c r="K31" i="9"/>
  <c r="K10" i="9" s="1"/>
  <c r="F40" i="9"/>
  <c r="H40" i="9"/>
  <c r="J40" i="9"/>
  <c r="X10" i="9"/>
  <c r="N82" i="9"/>
  <c r="N79" i="9" s="1"/>
  <c r="P12" i="9"/>
  <c r="X13" i="9"/>
  <c r="X12" i="9" s="1"/>
  <c r="P56" i="9"/>
  <c r="X59" i="9"/>
  <c r="X56" i="9" s="1"/>
  <c r="M41" i="7"/>
  <c r="M45" i="7"/>
  <c r="M51" i="7"/>
  <c r="D51" i="7"/>
  <c r="M63" i="7"/>
  <c r="M62" i="7" s="1"/>
  <c r="D63" i="7"/>
  <c r="D62" i="7" s="1"/>
  <c r="N16" i="7"/>
  <c r="N15" i="7" s="1"/>
  <c r="M19" i="7"/>
  <c r="M57" i="7"/>
  <c r="M56" i="7" s="1"/>
  <c r="L74" i="7"/>
  <c r="K89" i="7"/>
  <c r="L68" i="7"/>
  <c r="P50" i="7"/>
  <c r="R50" i="7"/>
  <c r="I44" i="7"/>
  <c r="J68" i="7"/>
  <c r="K16" i="6"/>
  <c r="K14" i="6" s="1"/>
  <c r="X73" i="5"/>
  <c r="X70" i="5" s="1"/>
  <c r="X69" i="5" s="1"/>
  <c r="L22" i="4"/>
  <c r="G40" i="4"/>
  <c r="I40" i="4"/>
  <c r="N47" i="4"/>
  <c r="J12" i="4"/>
  <c r="E97" i="4"/>
  <c r="E93" i="4" s="1"/>
  <c r="G93" i="4"/>
  <c r="I93" i="4"/>
  <c r="K93" i="4"/>
  <c r="N93" i="4"/>
  <c r="P93" i="4"/>
  <c r="E103" i="4"/>
  <c r="I103" i="4"/>
  <c r="N12" i="4"/>
  <c r="M206" i="3"/>
  <c r="D32" i="3"/>
  <c r="M31" i="3"/>
  <c r="M30" i="3" s="1"/>
  <c r="X163" i="3"/>
  <c r="X162" i="3" s="1"/>
  <c r="X176" i="3"/>
  <c r="X175" i="3" s="1"/>
  <c r="X174" i="3" s="1"/>
  <c r="M194" i="3"/>
  <c r="I66" i="3"/>
  <c r="K66" i="3"/>
  <c r="P78" i="3"/>
  <c r="M22" i="10"/>
  <c r="E119" i="3"/>
  <c r="M46" i="8"/>
  <c r="M47" i="8"/>
  <c r="J49" i="8"/>
  <c r="L54" i="8"/>
  <c r="F69" i="8"/>
  <c r="D17" i="10" s="1"/>
  <c r="M73" i="8"/>
  <c r="D73" i="8" s="1"/>
  <c r="J74" i="8"/>
  <c r="H18" i="10" s="1"/>
  <c r="I94" i="8"/>
  <c r="M97" i="8"/>
  <c r="D97" i="8" s="1"/>
  <c r="O31" i="8"/>
  <c r="G106" i="8"/>
  <c r="N106" i="8"/>
  <c r="M112" i="8"/>
  <c r="D112" i="8" s="1"/>
  <c r="N113" i="8"/>
  <c r="L14" i="10" s="1"/>
  <c r="O121" i="8"/>
  <c r="L128" i="8"/>
  <c r="L127" i="8" s="1"/>
  <c r="F154" i="8"/>
  <c r="H154" i="8"/>
  <c r="J154" i="8"/>
  <c r="L154" i="8"/>
  <c r="Q154" i="8"/>
  <c r="P181" i="8"/>
  <c r="D38" i="8"/>
  <c r="M15" i="8"/>
  <c r="D39" i="8"/>
  <c r="M16" i="8"/>
  <c r="J20" i="1" s="1"/>
  <c r="D42" i="8"/>
  <c r="D43" i="8"/>
  <c r="M21" i="8"/>
  <c r="J29" i="1" s="1"/>
  <c r="X29" i="1" s="1"/>
  <c r="D51" i="8"/>
  <c r="D56" i="8"/>
  <c r="M55" i="8"/>
  <c r="M59" i="8"/>
  <c r="K58" i="8"/>
  <c r="D63" i="8"/>
  <c r="M62" i="8"/>
  <c r="D66" i="8"/>
  <c r="M65" i="8"/>
  <c r="O16" i="8"/>
  <c r="L20" i="1" s="1"/>
  <c r="O26" i="8"/>
  <c r="L35" i="1" s="1"/>
  <c r="L140" i="1" s="1"/>
  <c r="L202" i="1" s="1"/>
  <c r="D103" i="8"/>
  <c r="M31" i="8"/>
  <c r="D167" i="8"/>
  <c r="X181" i="8"/>
  <c r="C18" i="10"/>
  <c r="H10" i="8"/>
  <c r="Q140" i="8"/>
  <c r="F11" i="8"/>
  <c r="K44" i="8"/>
  <c r="O54" i="8"/>
  <c r="E69" i="8"/>
  <c r="G69" i="8"/>
  <c r="E17" i="10" s="1"/>
  <c r="I69" i="8"/>
  <c r="Q146" i="8"/>
  <c r="O14" i="10" s="1"/>
  <c r="E204" i="2"/>
  <c r="E203" i="2" s="1"/>
  <c r="M205" i="2"/>
  <c r="D205" i="2" s="1"/>
  <c r="K68" i="2"/>
  <c r="O16" i="2"/>
  <c r="L21" i="1" s="1"/>
  <c r="O15" i="2"/>
  <c r="O371" i="2"/>
  <c r="O406" i="2"/>
  <c r="O42" i="2"/>
  <c r="O22" i="2"/>
  <c r="O20" i="2"/>
  <c r="L28" i="1" s="1"/>
  <c r="O435" i="2"/>
  <c r="L64" i="1" s="1"/>
  <c r="E72" i="2"/>
  <c r="P288" i="2"/>
  <c r="L15" i="12" s="1"/>
  <c r="I21" i="10"/>
  <c r="E103" i="3"/>
  <c r="D22" i="10"/>
  <c r="G22" i="10"/>
  <c r="H22" i="10"/>
  <c r="D212" i="3"/>
  <c r="D213" i="3" s="1"/>
  <c r="H14" i="6"/>
  <c r="H20" i="6"/>
  <c r="H19" i="6" s="1"/>
  <c r="H26" i="6"/>
  <c r="H25" i="6" s="1"/>
  <c r="I20" i="6"/>
  <c r="I19" i="6" s="1"/>
  <c r="K26" i="6"/>
  <c r="K25" i="6" s="1"/>
  <c r="J14" i="6"/>
  <c r="L14" i="6"/>
  <c r="F245" i="6"/>
  <c r="C59" i="1" s="1"/>
  <c r="H245" i="6"/>
  <c r="E59" i="1" s="1"/>
  <c r="K245" i="6"/>
  <c r="J268" i="6"/>
  <c r="J267" i="6" s="1"/>
  <c r="J108" i="6"/>
  <c r="J105" i="6" s="1"/>
  <c r="P256" i="6"/>
  <c r="P255" i="6" s="1"/>
  <c r="P246" i="6" s="1"/>
  <c r="P244" i="6" s="1"/>
  <c r="P39" i="6"/>
  <c r="P12" i="6" s="1"/>
  <c r="O44" i="6"/>
  <c r="M81" i="6"/>
  <c r="M80" i="6" s="1"/>
  <c r="N39" i="6"/>
  <c r="L19" i="10" s="1"/>
  <c r="X246" i="6"/>
  <c r="X245" i="6"/>
  <c r="R14" i="5"/>
  <c r="X15" i="5"/>
  <c r="X14" i="5" s="1"/>
  <c r="X13" i="5" s="1"/>
  <c r="F204" i="3"/>
  <c r="H204" i="3"/>
  <c r="E54" i="3"/>
  <c r="G54" i="3"/>
  <c r="P54" i="3"/>
  <c r="X14" i="3"/>
  <c r="X12" i="3" s="1"/>
  <c r="X11" i="3" s="1"/>
  <c r="X10" i="3"/>
  <c r="F73" i="6"/>
  <c r="F72" i="6" s="1"/>
  <c r="F19" i="6"/>
  <c r="F13" i="6" s="1"/>
  <c r="H22" i="6"/>
  <c r="H21" i="6" s="1"/>
  <c r="N33" i="6"/>
  <c r="G73" i="6"/>
  <c r="G72" i="6" s="1"/>
  <c r="G19" i="6"/>
  <c r="G13" i="6" s="1"/>
  <c r="Q94" i="6"/>
  <c r="M102" i="6"/>
  <c r="F10" i="4"/>
  <c r="H10" i="4"/>
  <c r="O18" i="4"/>
  <c r="L69" i="1" s="1"/>
  <c r="O73" i="4"/>
  <c r="O72" i="4" s="1"/>
  <c r="F53" i="4"/>
  <c r="H53" i="4"/>
  <c r="J53" i="4"/>
  <c r="L53" i="4"/>
  <c r="X38" i="2"/>
  <c r="O68" i="2"/>
  <c r="P22" i="2"/>
  <c r="X22" i="2" s="1"/>
  <c r="X376" i="2"/>
  <c r="X414" i="2"/>
  <c r="X413" i="2" s="1"/>
  <c r="P16" i="2"/>
  <c r="M21" i="1" s="1"/>
  <c r="M125" i="1" s="1"/>
  <c r="M186" i="1" s="1"/>
  <c r="X39" i="2"/>
  <c r="P18" i="2"/>
  <c r="M23" i="1" s="1"/>
  <c r="M128" i="1" s="1"/>
  <c r="M189" i="1" s="1"/>
  <c r="X40" i="2"/>
  <c r="G288" i="2"/>
  <c r="X371" i="2"/>
  <c r="O375" i="2"/>
  <c r="O374" i="2" s="1"/>
  <c r="P42" i="2"/>
  <c r="E240" i="2"/>
  <c r="E239" i="2" s="1"/>
  <c r="P15" i="2"/>
  <c r="M19" i="1" s="1"/>
  <c r="M123" i="1" s="1"/>
  <c r="M185" i="1" s="1"/>
  <c r="X372" i="2"/>
  <c r="X373" i="2"/>
  <c r="P415" i="2"/>
  <c r="X416" i="2"/>
  <c r="X415" i="2" s="1"/>
  <c r="V68" i="1"/>
  <c r="X437" i="2"/>
  <c r="X434" i="2" s="1"/>
  <c r="X433" i="2" s="1"/>
  <c r="V129" i="1"/>
  <c r="F75" i="2"/>
  <c r="H75" i="2"/>
  <c r="G33" i="5"/>
  <c r="I33" i="5"/>
  <c r="K33" i="5"/>
  <c r="L36" i="5"/>
  <c r="I28" i="1"/>
  <c r="R44" i="5"/>
  <c r="P146" i="8"/>
  <c r="N14" i="10" s="1"/>
  <c r="O72" i="3"/>
  <c r="D24" i="3"/>
  <c r="D23" i="3" s="1"/>
  <c r="K120" i="3"/>
  <c r="P120" i="3"/>
  <c r="F123" i="3"/>
  <c r="E124" i="3"/>
  <c r="O126" i="3"/>
  <c r="O10" i="3" s="1"/>
  <c r="E22" i="10"/>
  <c r="L22" i="10"/>
  <c r="P168" i="3"/>
  <c r="N22" i="10" s="1"/>
  <c r="O36" i="3"/>
  <c r="F36" i="3"/>
  <c r="J36" i="3"/>
  <c r="Q90" i="3"/>
  <c r="O102" i="3"/>
  <c r="N192" i="8"/>
  <c r="N191" i="8" s="1"/>
  <c r="N185" i="8"/>
  <c r="N184" i="8" s="1"/>
  <c r="K288" i="2"/>
  <c r="K75" i="2"/>
  <c r="J75" i="2"/>
  <c r="O106" i="8"/>
  <c r="E132" i="3"/>
  <c r="I102" i="3"/>
  <c r="J42" i="3"/>
  <c r="L42" i="3"/>
  <c r="I330" i="2"/>
  <c r="I329" i="2" s="1"/>
  <c r="N25" i="2"/>
  <c r="F440" i="2"/>
  <c r="F439" i="2" s="1"/>
  <c r="H440" i="2"/>
  <c r="H439" i="2" s="1"/>
  <c r="J440" i="2"/>
  <c r="J439" i="2" s="1"/>
  <c r="G102" i="1" s="1"/>
  <c r="G100" i="1" s="1"/>
  <c r="L440" i="2"/>
  <c r="L439" i="2" s="1"/>
  <c r="O440" i="2"/>
  <c r="O439" i="2" s="1"/>
  <c r="Q440" i="2"/>
  <c r="Q439" i="2" s="1"/>
  <c r="N102" i="1" s="1"/>
  <c r="N100" i="1" s="1"/>
  <c r="K516" i="2"/>
  <c r="K515" i="2" s="1"/>
  <c r="K431" i="2" s="1"/>
  <c r="H59" i="1" s="1"/>
  <c r="J330" i="2"/>
  <c r="J329" i="2" s="1"/>
  <c r="M398" i="2"/>
  <c r="L398" i="2"/>
  <c r="G440" i="2"/>
  <c r="G439" i="2" s="1"/>
  <c r="I440" i="2"/>
  <c r="I439" i="2" s="1"/>
  <c r="K440" i="2"/>
  <c r="K439" i="2" s="1"/>
  <c r="P440" i="2"/>
  <c r="P439" i="2" s="1"/>
  <c r="R440" i="2"/>
  <c r="R439" i="2" s="1"/>
  <c r="O102" i="1" s="1"/>
  <c r="O100" i="1" s="1"/>
  <c r="O99" i="1" s="1"/>
  <c r="J516" i="2"/>
  <c r="J515" i="2" s="1"/>
  <c r="E14" i="9"/>
  <c r="I14" i="9"/>
  <c r="I11" i="9" s="1"/>
  <c r="O69" i="9"/>
  <c r="O68" i="9" s="1"/>
  <c r="N12" i="9"/>
  <c r="K120" i="9"/>
  <c r="E330" i="2"/>
  <c r="E329" i="2" s="1"/>
  <c r="P33" i="2"/>
  <c r="M45" i="1" s="1"/>
  <c r="R33" i="2"/>
  <c r="O45" i="1" s="1"/>
  <c r="E435" i="2"/>
  <c r="B64" i="1" s="1"/>
  <c r="P276" i="2"/>
  <c r="E35" i="10"/>
  <c r="D35" i="10"/>
  <c r="H118" i="2"/>
  <c r="G239" i="2"/>
  <c r="J239" i="2"/>
  <c r="L239" i="2"/>
  <c r="F239" i="2"/>
  <c r="H239" i="2"/>
  <c r="K239" i="2"/>
  <c r="I248" i="2"/>
  <c r="F256" i="2"/>
  <c r="H256" i="2"/>
  <c r="J256" i="2"/>
  <c r="L256" i="2"/>
  <c r="E251" i="2"/>
  <c r="E249" i="2" s="1"/>
  <c r="H249" i="2"/>
  <c r="H248" i="2" s="1"/>
  <c r="G256" i="2"/>
  <c r="I256" i="2"/>
  <c r="K256" i="2"/>
  <c r="P21" i="2"/>
  <c r="R30" i="8"/>
  <c r="P30" i="8"/>
  <c r="O140" i="8"/>
  <c r="J20" i="2"/>
  <c r="G28" i="1" s="1"/>
  <c r="P32" i="2"/>
  <c r="M44" i="1" s="1"/>
  <c r="R14" i="2"/>
  <c r="O18" i="1" s="1"/>
  <c r="G33" i="2"/>
  <c r="D45" i="1" s="1"/>
  <c r="D146" i="1" s="1"/>
  <c r="D208" i="1" s="1"/>
  <c r="H14" i="2"/>
  <c r="O32" i="2"/>
  <c r="L44" i="1" s="1"/>
  <c r="L144" i="1" s="1"/>
  <c r="L206" i="1" s="1"/>
  <c r="Q32" i="2"/>
  <c r="N44" i="1" s="1"/>
  <c r="G14" i="2"/>
  <c r="O52" i="2"/>
  <c r="O50" i="2" s="1"/>
  <c r="H40" i="2"/>
  <c r="H18" i="2" s="1"/>
  <c r="E23" i="1" s="1"/>
  <c r="E128" i="1" s="1"/>
  <c r="E189" i="1" s="1"/>
  <c r="O38" i="2"/>
  <c r="O37" i="2" s="1"/>
  <c r="Q14" i="2"/>
  <c r="N18" i="1" s="1"/>
  <c r="I43" i="2"/>
  <c r="I42" i="2" s="1"/>
  <c r="L46" i="2"/>
  <c r="E48" i="2"/>
  <c r="E29" i="2" s="1"/>
  <c r="B39" i="1" s="1"/>
  <c r="B143" i="1" s="1"/>
  <c r="B205" i="1" s="1"/>
  <c r="K38" i="2"/>
  <c r="O231" i="2"/>
  <c r="F432" i="2"/>
  <c r="H432" i="2"/>
  <c r="R21" i="2"/>
  <c r="K54" i="2"/>
  <c r="P54" i="2"/>
  <c r="L52" i="2"/>
  <c r="L50" i="2" s="1"/>
  <c r="G61" i="2"/>
  <c r="N139" i="2"/>
  <c r="G432" i="2"/>
  <c r="Q432" i="2"/>
  <c r="N60" i="1" s="1"/>
  <c r="K435" i="2"/>
  <c r="F112" i="2"/>
  <c r="H112" i="2"/>
  <c r="J112" i="2"/>
  <c r="L112" i="2"/>
  <c r="I38" i="2"/>
  <c r="I139" i="2"/>
  <c r="J288" i="2"/>
  <c r="C38" i="12"/>
  <c r="C39" i="12" s="1"/>
  <c r="N288" i="2"/>
  <c r="J15" i="12" s="1"/>
  <c r="J16" i="12"/>
  <c r="J9" i="12" s="1"/>
  <c r="R432" i="2"/>
  <c r="O60" i="1" s="1"/>
  <c r="L467" i="2"/>
  <c r="L466" i="2" s="1"/>
  <c r="L435" i="2"/>
  <c r="N455" i="2"/>
  <c r="N454" i="2" s="1"/>
  <c r="N435" i="2"/>
  <c r="N434" i="2" s="1"/>
  <c r="N433" i="2" s="1"/>
  <c r="J487" i="2"/>
  <c r="J486" i="2" s="1"/>
  <c r="J432" i="2" s="1"/>
  <c r="J435" i="2"/>
  <c r="Q10" i="4"/>
  <c r="M15" i="4"/>
  <c r="N73" i="4"/>
  <c r="L10" i="4"/>
  <c r="M11" i="4"/>
  <c r="M26" i="4"/>
  <c r="N67" i="4"/>
  <c r="N70" i="4"/>
  <c r="N21" i="4"/>
  <c r="K73" i="1" s="1"/>
  <c r="K72" i="1" s="1"/>
  <c r="I21" i="2"/>
  <c r="N103" i="4"/>
  <c r="O124" i="9"/>
  <c r="G27" i="5"/>
  <c r="R13" i="5"/>
  <c r="F22" i="5"/>
  <c r="H22" i="5"/>
  <c r="J22" i="5"/>
  <c r="O22" i="5"/>
  <c r="O11" i="5" s="1"/>
  <c r="Q22" i="5"/>
  <c r="F33" i="5"/>
  <c r="H33" i="5"/>
  <c r="J33" i="5"/>
  <c r="L38" i="5"/>
  <c r="K13" i="5"/>
  <c r="I13" i="5"/>
  <c r="E25" i="5"/>
  <c r="K27" i="5"/>
  <c r="L34" i="5"/>
  <c r="L33" i="5" s="1"/>
  <c r="E36" i="5"/>
  <c r="O77" i="5"/>
  <c r="O76" i="5" s="1"/>
  <c r="L19" i="5"/>
  <c r="L18" i="5" s="1"/>
  <c r="E28" i="5"/>
  <c r="D28" i="5" s="1"/>
  <c r="I27" i="5"/>
  <c r="M15" i="5"/>
  <c r="M34" i="5"/>
  <c r="F38" i="5"/>
  <c r="H38" i="5"/>
  <c r="J38" i="5"/>
  <c r="P74" i="5"/>
  <c r="Q77" i="5"/>
  <c r="Q76" i="5" s="1"/>
  <c r="L92" i="5"/>
  <c r="L91" i="5" s="1"/>
  <c r="M95" i="5"/>
  <c r="L78" i="5"/>
  <c r="M79" i="5"/>
  <c r="M61" i="5" s="1"/>
  <c r="M41" i="5"/>
  <c r="M38" i="5" s="1"/>
  <c r="M72" i="5"/>
  <c r="D95" i="5"/>
  <c r="M101" i="5"/>
  <c r="M81" i="5"/>
  <c r="G31" i="2"/>
  <c r="D41" i="1" s="1"/>
  <c r="D142" i="1" s="1"/>
  <c r="D204" i="1" s="1"/>
  <c r="N231" i="2"/>
  <c r="P231" i="2"/>
  <c r="I112" i="2"/>
  <c r="N112" i="2"/>
  <c r="P112" i="2"/>
  <c r="O21" i="2"/>
  <c r="L30" i="1" s="1"/>
  <c r="G43" i="2"/>
  <c r="L38" i="2"/>
  <c r="L37" i="2" s="1"/>
  <c r="K43" i="2"/>
  <c r="E46" i="2"/>
  <c r="N43" i="2"/>
  <c r="N42" i="2" s="1"/>
  <c r="F21" i="2"/>
  <c r="Q21" i="2"/>
  <c r="H58" i="2"/>
  <c r="H54" i="2" s="1"/>
  <c r="H43" i="2"/>
  <c r="J165" i="2"/>
  <c r="J162" i="2" s="1"/>
  <c r="J52" i="2"/>
  <c r="J33" i="2" s="1"/>
  <c r="L380" i="2"/>
  <c r="I40" i="2"/>
  <c r="I18" i="2" s="1"/>
  <c r="F23" i="1" s="1"/>
  <c r="F128" i="1" s="1"/>
  <c r="F189" i="1" s="1"/>
  <c r="P413" i="2"/>
  <c r="P14" i="2"/>
  <c r="M18" i="1" s="1"/>
  <c r="P20" i="2"/>
  <c r="J38" i="2"/>
  <c r="J37" i="2" s="1"/>
  <c r="N47" i="2"/>
  <c r="N28" i="2" s="1"/>
  <c r="K38" i="1" s="1"/>
  <c r="K142" i="1" s="1"/>
  <c r="K204" i="1" s="1"/>
  <c r="L48" i="2"/>
  <c r="L29" i="2" s="1"/>
  <c r="I39" i="1" s="1"/>
  <c r="I143" i="1" s="1"/>
  <c r="I205" i="1" s="1"/>
  <c r="H50" i="2"/>
  <c r="H31" i="2"/>
  <c r="E41" i="1" s="1"/>
  <c r="E142" i="1" s="1"/>
  <c r="E204" i="1" s="1"/>
  <c r="J31" i="2"/>
  <c r="G41" i="1" s="1"/>
  <c r="G142" i="1" s="1"/>
  <c r="G204" i="1" s="1"/>
  <c r="F33" i="2"/>
  <c r="C45" i="1" s="1"/>
  <c r="C146" i="1" s="1"/>
  <c r="C208" i="1" s="1"/>
  <c r="H33" i="2"/>
  <c r="E437" i="2"/>
  <c r="B68" i="1" s="1"/>
  <c r="N382" i="2"/>
  <c r="N381" i="2" s="1"/>
  <c r="Q33" i="2"/>
  <c r="N45" i="1" s="1"/>
  <c r="J54" i="2"/>
  <c r="O54" i="2"/>
  <c r="O224" i="2"/>
  <c r="E47" i="2"/>
  <c r="E28" i="2" s="1"/>
  <c r="B38" i="1" s="1"/>
  <c r="N38" i="2"/>
  <c r="N37" i="2" s="1"/>
  <c r="I309" i="2"/>
  <c r="I306" i="2" s="1"/>
  <c r="I52" i="2"/>
  <c r="I33" i="2" s="1"/>
  <c r="J43" i="2"/>
  <c r="L43" i="2"/>
  <c r="P50" i="2"/>
  <c r="R50" i="2"/>
  <c r="F54" i="2"/>
  <c r="G54" i="2"/>
  <c r="I54" i="2"/>
  <c r="F224" i="2"/>
  <c r="H224" i="2"/>
  <c r="J224" i="2"/>
  <c r="L224" i="2"/>
  <c r="D232" i="2"/>
  <c r="F68" i="2"/>
  <c r="H68" i="2"/>
  <c r="D70" i="2"/>
  <c r="F98" i="2"/>
  <c r="F270" i="2"/>
  <c r="H270" i="2"/>
  <c r="J270" i="2"/>
  <c r="L270" i="2"/>
  <c r="O270" i="2"/>
  <c r="P312" i="2"/>
  <c r="E371" i="2"/>
  <c r="E370" i="2" s="1"/>
  <c r="L437" i="2"/>
  <c r="I68" i="1" s="1"/>
  <c r="I125" i="1" s="1"/>
  <c r="I186" i="1" s="1"/>
  <c r="P300" i="2"/>
  <c r="G270" i="2"/>
  <c r="E105" i="2"/>
  <c r="G105" i="2"/>
  <c r="I105" i="2"/>
  <c r="K105" i="2"/>
  <c r="O105" i="2"/>
  <c r="O82" i="2"/>
  <c r="I270" i="2"/>
  <c r="K270" i="2"/>
  <c r="N270" i="2"/>
  <c r="F105" i="2"/>
  <c r="H105" i="2"/>
  <c r="J105" i="2"/>
  <c r="N105" i="2"/>
  <c r="P105" i="2"/>
  <c r="P145" i="2"/>
  <c r="P270" i="2"/>
  <c r="E113" i="2"/>
  <c r="E112" i="2" s="1"/>
  <c r="G319" i="2"/>
  <c r="K276" i="2"/>
  <c r="J145" i="2"/>
  <c r="R36" i="2"/>
  <c r="P7" i="10" s="1"/>
  <c r="Q50" i="2"/>
  <c r="P61" i="2"/>
  <c r="P75" i="2"/>
  <c r="M119" i="2"/>
  <c r="H300" i="2"/>
  <c r="N300" i="2"/>
  <c r="L264" i="2"/>
  <c r="P385" i="2"/>
  <c r="F61" i="2"/>
  <c r="H61" i="2"/>
  <c r="J61" i="2"/>
  <c r="L61" i="2"/>
  <c r="O61" i="2"/>
  <c r="I61" i="2"/>
  <c r="K61" i="2"/>
  <c r="N61" i="2"/>
  <c r="E52" i="2"/>
  <c r="N75" i="2"/>
  <c r="O75" i="2"/>
  <c r="G98" i="2"/>
  <c r="K98" i="2"/>
  <c r="P98" i="2"/>
  <c r="J98" i="2"/>
  <c r="F312" i="2"/>
  <c r="H312" i="2"/>
  <c r="K312" i="2"/>
  <c r="N312" i="2"/>
  <c r="F385" i="2"/>
  <c r="H385" i="2"/>
  <c r="J385" i="2"/>
  <c r="L385" i="2"/>
  <c r="E385" i="2"/>
  <c r="G385" i="2"/>
  <c r="E393" i="2"/>
  <c r="G393" i="2"/>
  <c r="I393" i="2"/>
  <c r="K393" i="2"/>
  <c r="J403" i="2"/>
  <c r="L403" i="2"/>
  <c r="I374" i="2"/>
  <c r="G44" i="2"/>
  <c r="L47" i="2"/>
  <c r="H98" i="2"/>
  <c r="M314" i="2"/>
  <c r="E312" i="2"/>
  <c r="K323" i="2"/>
  <c r="K319" i="2" s="1"/>
  <c r="K52" i="2"/>
  <c r="K33" i="2" s="1"/>
  <c r="N380" i="2"/>
  <c r="N378" i="2" s="1"/>
  <c r="E409" i="2"/>
  <c r="E408" i="2" s="1"/>
  <c r="E382" i="2"/>
  <c r="E381" i="2" s="1"/>
  <c r="D260" i="2"/>
  <c r="E260" i="2"/>
  <c r="E51" i="2"/>
  <c r="E31" i="2" s="1"/>
  <c r="B41" i="1" s="1"/>
  <c r="N309" i="2"/>
  <c r="N306" i="2" s="1"/>
  <c r="N52" i="2"/>
  <c r="N375" i="2"/>
  <c r="E459" i="2"/>
  <c r="E458" i="2" s="1"/>
  <c r="E443" i="2"/>
  <c r="L483" i="2"/>
  <c r="L482" i="2" s="1"/>
  <c r="G224" i="2"/>
  <c r="I224" i="2"/>
  <c r="K224" i="2"/>
  <c r="N224" i="2"/>
  <c r="P224" i="2"/>
  <c r="G68" i="2"/>
  <c r="I68" i="2"/>
  <c r="O256" i="2"/>
  <c r="O98" i="2"/>
  <c r="L98" i="2"/>
  <c r="F300" i="2"/>
  <c r="O300" i="2"/>
  <c r="E302" i="2"/>
  <c r="E301" i="2" s="1"/>
  <c r="L300" i="2"/>
  <c r="F264" i="2"/>
  <c r="H264" i="2"/>
  <c r="J264" i="2"/>
  <c r="G312" i="2"/>
  <c r="I312" i="2"/>
  <c r="L312" i="2"/>
  <c r="O312" i="2"/>
  <c r="G276" i="2"/>
  <c r="I276" i="2"/>
  <c r="N198" i="2"/>
  <c r="P198" i="2"/>
  <c r="H335" i="2"/>
  <c r="G374" i="2"/>
  <c r="K374" i="2"/>
  <c r="P374" i="2"/>
  <c r="R374" i="2"/>
  <c r="O378" i="2"/>
  <c r="E253" i="2"/>
  <c r="F183" i="2"/>
  <c r="I385" i="2"/>
  <c r="J214" i="2"/>
  <c r="K385" i="2"/>
  <c r="P90" i="2"/>
  <c r="E257" i="2"/>
  <c r="I198" i="2"/>
  <c r="F374" i="2"/>
  <c r="H374" i="2"/>
  <c r="J374" i="2"/>
  <c r="L374" i="2"/>
  <c r="Q374" i="2"/>
  <c r="F378" i="2"/>
  <c r="J378" i="2"/>
  <c r="P381" i="2"/>
  <c r="R381" i="2"/>
  <c r="Q381" i="2"/>
  <c r="O335" i="2"/>
  <c r="P421" i="2"/>
  <c r="E60" i="2"/>
  <c r="L69" i="2"/>
  <c r="L68" i="2" s="1"/>
  <c r="D121" i="2"/>
  <c r="P124" i="2"/>
  <c r="E134" i="2"/>
  <c r="F139" i="2"/>
  <c r="H139" i="2"/>
  <c r="J139" i="2"/>
  <c r="L139" i="2"/>
  <c r="O139" i="2"/>
  <c r="O157" i="2"/>
  <c r="K11" i="12" s="1"/>
  <c r="H157" i="2"/>
  <c r="F381" i="2"/>
  <c r="H381" i="2"/>
  <c r="J381" i="2"/>
  <c r="I319" i="2"/>
  <c r="F276" i="2"/>
  <c r="H276" i="2"/>
  <c r="J276" i="2"/>
  <c r="J282" i="2"/>
  <c r="G124" i="2"/>
  <c r="E142" i="2"/>
  <c r="F157" i="2"/>
  <c r="H162" i="2"/>
  <c r="J183" i="2"/>
  <c r="O198" i="2"/>
  <c r="L198" i="2"/>
  <c r="D201" i="2"/>
  <c r="E201" i="2"/>
  <c r="I327" i="2"/>
  <c r="I336" i="2"/>
  <c r="I335" i="2" s="1"/>
  <c r="K336" i="2"/>
  <c r="K335" i="2" s="1"/>
  <c r="N327" i="2"/>
  <c r="N326" i="2" s="1"/>
  <c r="L28" i="10" s="1"/>
  <c r="L341" i="2"/>
  <c r="L340" i="2" s="1"/>
  <c r="M333" i="2"/>
  <c r="I404" i="2"/>
  <c r="I403" i="2" s="1"/>
  <c r="I371" i="2"/>
  <c r="I370" i="2" s="1"/>
  <c r="O422" i="2"/>
  <c r="O421" i="2" s="1"/>
  <c r="O414" i="2"/>
  <c r="O413" i="2" s="1"/>
  <c r="K467" i="2"/>
  <c r="K466" i="2" s="1"/>
  <c r="K432" i="2" s="1"/>
  <c r="I475" i="2"/>
  <c r="I474" i="2" s="1"/>
  <c r="I432" i="2" s="1"/>
  <c r="I434" i="2"/>
  <c r="I433" i="2" s="1"/>
  <c r="E189" i="2"/>
  <c r="G189" i="2"/>
  <c r="I189" i="2"/>
  <c r="K189" i="2"/>
  <c r="N189" i="2"/>
  <c r="J27" i="12" s="1"/>
  <c r="L27" i="12"/>
  <c r="J336" i="2"/>
  <c r="J335" i="2" s="1"/>
  <c r="J327" i="2"/>
  <c r="L336" i="2"/>
  <c r="L335" i="2" s="1"/>
  <c r="L327" i="2"/>
  <c r="H370" i="2"/>
  <c r="L370" i="2"/>
  <c r="Q370" i="2"/>
  <c r="E378" i="2"/>
  <c r="G378" i="2"/>
  <c r="G377" i="2" s="1"/>
  <c r="E12" i="10" s="1"/>
  <c r="I378" i="2"/>
  <c r="I377" i="2" s="1"/>
  <c r="G12" i="10" s="1"/>
  <c r="K378" i="2"/>
  <c r="K377" i="2" s="1"/>
  <c r="I12" i="10" s="1"/>
  <c r="P378" i="2"/>
  <c r="R378" i="2"/>
  <c r="H378" i="2"/>
  <c r="Q378" i="2"/>
  <c r="F393" i="2"/>
  <c r="H393" i="2"/>
  <c r="J393" i="2"/>
  <c r="Q421" i="2"/>
  <c r="Q9" i="2" s="1"/>
  <c r="R421" i="2"/>
  <c r="R9" i="2" s="1"/>
  <c r="G434" i="2"/>
  <c r="G433" i="2" s="1"/>
  <c r="P434" i="2"/>
  <c r="P433" i="2" s="1"/>
  <c r="R434" i="2"/>
  <c r="R433" i="2" s="1"/>
  <c r="L507" i="2"/>
  <c r="L506" i="2" s="1"/>
  <c r="I101" i="1" s="1"/>
  <c r="F50" i="2"/>
  <c r="Q24" i="2"/>
  <c r="Q16" i="2"/>
  <c r="N21" i="1" s="1"/>
  <c r="N125" i="1" s="1"/>
  <c r="N186" i="1" s="1"/>
  <c r="Q40" i="9"/>
  <c r="J14" i="9"/>
  <c r="G14" i="9"/>
  <c r="D101" i="9"/>
  <c r="K15" i="9"/>
  <c r="K14" i="9" s="1"/>
  <c r="K11" i="9" s="1"/>
  <c r="K19" i="9"/>
  <c r="K18" i="9" s="1"/>
  <c r="K17" i="9" s="1"/>
  <c r="F18" i="9"/>
  <c r="F17" i="9" s="1"/>
  <c r="H18" i="9"/>
  <c r="H17" i="9" s="1"/>
  <c r="N66" i="9"/>
  <c r="N65" i="9" s="1"/>
  <c r="E11" i="9"/>
  <c r="F14" i="9"/>
  <c r="H14" i="9"/>
  <c r="Q14" i="9"/>
  <c r="Q11" i="9" s="1"/>
  <c r="F35" i="10"/>
  <c r="I35" i="10"/>
  <c r="M35" i="10"/>
  <c r="L34" i="9"/>
  <c r="K53" i="9"/>
  <c r="K52" i="9" s="1"/>
  <c r="I120" i="9"/>
  <c r="H11" i="9"/>
  <c r="E40" i="9"/>
  <c r="C34" i="10" s="1"/>
  <c r="K22" i="9"/>
  <c r="H35" i="10"/>
  <c r="L28" i="9"/>
  <c r="L27" i="9" s="1"/>
  <c r="L41" i="9"/>
  <c r="D69" i="9"/>
  <c r="D68" i="9" s="1"/>
  <c r="O18" i="9"/>
  <c r="M73" i="9"/>
  <c r="M72" i="9" s="1"/>
  <c r="D73" i="9"/>
  <c r="D72" i="9" s="1"/>
  <c r="F12" i="9"/>
  <c r="G12" i="9"/>
  <c r="G11" i="9" s="1"/>
  <c r="M32" i="9"/>
  <c r="D34" i="9"/>
  <c r="M34" i="9"/>
  <c r="M41" i="9"/>
  <c r="L46" i="9"/>
  <c r="L45" i="9" s="1"/>
  <c r="D53" i="9"/>
  <c r="D52" i="9" s="1"/>
  <c r="M53" i="9"/>
  <c r="M52" i="9" s="1"/>
  <c r="L59" i="9"/>
  <c r="L56" i="9" s="1"/>
  <c r="D59" i="9"/>
  <c r="D56" i="9" s="1"/>
  <c r="L62" i="9"/>
  <c r="L61" i="9" s="1"/>
  <c r="L73" i="9"/>
  <c r="L72" i="9" s="1"/>
  <c r="I100" i="9"/>
  <c r="E120" i="9"/>
  <c r="O16" i="5"/>
  <c r="O13" i="5" s="1"/>
  <c r="L106" i="8"/>
  <c r="O282" i="2"/>
  <c r="L282" i="2"/>
  <c r="E140" i="2"/>
  <c r="J17" i="7"/>
  <c r="I33" i="7"/>
  <c r="F66" i="1"/>
  <c r="I38" i="7"/>
  <c r="R38" i="7"/>
  <c r="D75" i="7"/>
  <c r="E74" i="7"/>
  <c r="J74" i="7"/>
  <c r="K84" i="7"/>
  <c r="K87" i="7"/>
  <c r="K23" i="7"/>
  <c r="N10" i="7"/>
  <c r="N8" i="7" s="1"/>
  <c r="N14" i="7"/>
  <c r="K67" i="1" s="1"/>
  <c r="K122" i="1" s="1"/>
  <c r="K184" i="1" s="1"/>
  <c r="K38" i="7"/>
  <c r="L44" i="7"/>
  <c r="D57" i="7"/>
  <c r="D56" i="7" s="1"/>
  <c r="K57" i="7"/>
  <c r="K56" i="7" s="1"/>
  <c r="I68" i="7"/>
  <c r="K68" i="7"/>
  <c r="O68" i="7"/>
  <c r="O74" i="7"/>
  <c r="K80" i="7"/>
  <c r="N80" i="7"/>
  <c r="N19" i="7"/>
  <c r="K79" i="1" s="1"/>
  <c r="K139" i="1" s="1"/>
  <c r="K201" i="1" s="1"/>
  <c r="O86" i="7"/>
  <c r="Q86" i="7"/>
  <c r="N89" i="7"/>
  <c r="N21" i="7"/>
  <c r="N20" i="7" s="1"/>
  <c r="D12" i="13"/>
  <c r="M16" i="13"/>
  <c r="M15" i="13" s="1"/>
  <c r="M24" i="13"/>
  <c r="M22" i="13"/>
  <c r="M14" i="13"/>
  <c r="M13" i="13" s="1"/>
  <c r="Q24" i="8"/>
  <c r="E18" i="8"/>
  <c r="R18" i="8"/>
  <c r="Q30" i="8"/>
  <c r="R13" i="8"/>
  <c r="H24" i="8"/>
  <c r="H23" i="8" s="1"/>
  <c r="N24" i="8"/>
  <c r="J36" i="8"/>
  <c r="E49" i="8"/>
  <c r="E61" i="8"/>
  <c r="I61" i="8"/>
  <c r="M75" i="8"/>
  <c r="M27" i="8"/>
  <c r="M85" i="8"/>
  <c r="M110" i="8"/>
  <c r="M128" i="8"/>
  <c r="D128" i="8"/>
  <c r="M130" i="8"/>
  <c r="M137" i="8"/>
  <c r="M136" i="8" s="1"/>
  <c r="D146" i="8"/>
  <c r="D212" i="8"/>
  <c r="M211" i="8"/>
  <c r="M210" i="8" s="1"/>
  <c r="M183" i="8" s="1"/>
  <c r="M181" i="8" s="1"/>
  <c r="M190" i="8"/>
  <c r="J65" i="1" s="1"/>
  <c r="G18" i="8"/>
  <c r="F23" i="8"/>
  <c r="J45" i="8"/>
  <c r="J44" i="8" s="1"/>
  <c r="M49" i="8"/>
  <c r="M22" i="8"/>
  <c r="M72" i="8"/>
  <c r="O75" i="8"/>
  <c r="O74" i="8" s="1"/>
  <c r="M18" i="10" s="1"/>
  <c r="M83" i="8"/>
  <c r="M82" i="8" s="1"/>
  <c r="M88" i="8"/>
  <c r="M87" i="8" s="1"/>
  <c r="D88" i="8"/>
  <c r="D87" i="8" s="1"/>
  <c r="J96" i="8"/>
  <c r="J93" i="8" s="1"/>
  <c r="H13" i="10" s="1"/>
  <c r="I96" i="8"/>
  <c r="I93" i="8" s="1"/>
  <c r="G13" i="10" s="1"/>
  <c r="J102" i="8"/>
  <c r="J99" i="8" s="1"/>
  <c r="I102" i="8"/>
  <c r="I99" i="8" s="1"/>
  <c r="D28" i="8"/>
  <c r="M28" i="8"/>
  <c r="J34" i="1" s="1"/>
  <c r="M122" i="8"/>
  <c r="M125" i="8"/>
  <c r="D125" i="8"/>
  <c r="D199" i="8"/>
  <c r="D198" i="8" s="1"/>
  <c r="F183" i="8"/>
  <c r="F181" i="8" s="1"/>
  <c r="J183" i="8"/>
  <c r="J181" i="8" s="1"/>
  <c r="L211" i="8"/>
  <c r="L210" i="8" s="1"/>
  <c r="M214" i="8"/>
  <c r="M213" i="8" s="1"/>
  <c r="D215" i="8"/>
  <c r="D196" i="8" s="1"/>
  <c r="M196" i="8"/>
  <c r="J78" i="1" s="1"/>
  <c r="U78" i="1" s="1"/>
  <c r="D160" i="8"/>
  <c r="D154" i="8"/>
  <c r="Q13" i="5"/>
  <c r="E33" i="5"/>
  <c r="F77" i="5"/>
  <c r="J77" i="5"/>
  <c r="G13" i="5"/>
  <c r="F27" i="5"/>
  <c r="D37" i="10" s="1"/>
  <c r="H27" i="5"/>
  <c r="F37" i="10" s="1"/>
  <c r="J27" i="5"/>
  <c r="H37" i="10" s="1"/>
  <c r="L27" i="5"/>
  <c r="J37" i="10" s="1"/>
  <c r="E30" i="5"/>
  <c r="E27" i="5" s="1"/>
  <c r="G38" i="5"/>
  <c r="I38" i="5"/>
  <c r="K38" i="5"/>
  <c r="E48" i="5"/>
  <c r="E47" i="5" s="1"/>
  <c r="P77" i="5"/>
  <c r="K97" i="5"/>
  <c r="G22" i="5"/>
  <c r="G11" i="5" s="1"/>
  <c r="I22" i="5"/>
  <c r="I11" i="5" s="1"/>
  <c r="K22" i="5"/>
  <c r="K11" i="5" s="1"/>
  <c r="P22" i="5"/>
  <c r="R22" i="5"/>
  <c r="R8" i="9"/>
  <c r="D100" i="9"/>
  <c r="Z100" i="9" s="1"/>
  <c r="D85" i="9"/>
  <c r="D20" i="9"/>
  <c r="G40" i="9"/>
  <c r="O23" i="4"/>
  <c r="O22" i="4" s="1"/>
  <c r="S17" i="4"/>
  <c r="P67" i="1" s="1"/>
  <c r="M54" i="4"/>
  <c r="M53" i="4" s="1"/>
  <c r="M61" i="4"/>
  <c r="M62" i="4"/>
  <c r="D24" i="4"/>
  <c r="N66" i="4"/>
  <c r="D67" i="4"/>
  <c r="D27" i="4"/>
  <c r="L103" i="4"/>
  <c r="O103" i="4"/>
  <c r="J22" i="4"/>
  <c r="F22" i="4"/>
  <c r="K41" i="4"/>
  <c r="K40" i="4" s="1"/>
  <c r="M12" i="4"/>
  <c r="G53" i="4"/>
  <c r="K53" i="4"/>
  <c r="D25" i="4"/>
  <c r="D70" i="4"/>
  <c r="D66" i="4" s="1"/>
  <c r="H22" i="4"/>
  <c r="I53" i="4"/>
  <c r="P33" i="6"/>
  <c r="O39" i="6"/>
  <c r="N44" i="6"/>
  <c r="P44" i="6"/>
  <c r="K74" i="6"/>
  <c r="K73" i="6" s="1"/>
  <c r="O85" i="6"/>
  <c r="O84" i="6" s="1"/>
  <c r="M97" i="6"/>
  <c r="M111" i="6"/>
  <c r="M110" i="6" s="1"/>
  <c r="M264" i="6"/>
  <c r="M263" i="6" s="1"/>
  <c r="M250" i="6"/>
  <c r="M268" i="6"/>
  <c r="M267" i="6" s="1"/>
  <c r="M253" i="6"/>
  <c r="M252" i="6" s="1"/>
  <c r="M251" i="6" s="1"/>
  <c r="M95" i="6"/>
  <c r="M108" i="6"/>
  <c r="M256" i="6"/>
  <c r="M255" i="6" s="1"/>
  <c r="M246" i="6" s="1"/>
  <c r="L36" i="3"/>
  <c r="P60" i="3"/>
  <c r="P162" i="3"/>
  <c r="N21" i="10" s="1"/>
  <c r="W21" i="10" s="1"/>
  <c r="D39" i="3"/>
  <c r="N39" i="3"/>
  <c r="N36" i="3" s="1"/>
  <c r="M44" i="3"/>
  <c r="E43" i="3"/>
  <c r="E42" i="3" s="1"/>
  <c r="M45" i="3"/>
  <c r="I43" i="3"/>
  <c r="I42" i="3" s="1"/>
  <c r="D50" i="3"/>
  <c r="M49" i="3"/>
  <c r="M52" i="3"/>
  <c r="I51" i="3"/>
  <c r="M24" i="3"/>
  <c r="M23" i="3" s="1"/>
  <c r="D37" i="3"/>
  <c r="G42" i="3"/>
  <c r="K42" i="3"/>
  <c r="J48" i="3"/>
  <c r="L48" i="3"/>
  <c r="E48" i="3"/>
  <c r="G48" i="3"/>
  <c r="K48" i="3"/>
  <c r="N55" i="3"/>
  <c r="N54" i="3" s="1"/>
  <c r="I55" i="3"/>
  <c r="I54" i="3" s="1"/>
  <c r="M56" i="3"/>
  <c r="M57" i="3"/>
  <c r="D57" i="3" s="1"/>
  <c r="M59" i="3"/>
  <c r="M62" i="3"/>
  <c r="M19" i="3" s="1"/>
  <c r="M18" i="3" s="1"/>
  <c r="G60" i="3"/>
  <c r="J63" i="3"/>
  <c r="K63" i="3"/>
  <c r="N63" i="3"/>
  <c r="N60" i="3" s="1"/>
  <c r="L67" i="3"/>
  <c r="M79" i="3"/>
  <c r="Q78" i="3"/>
  <c r="M107" i="3"/>
  <c r="M110" i="3"/>
  <c r="L115" i="3"/>
  <c r="F120" i="3"/>
  <c r="J121" i="3"/>
  <c r="O123" i="3"/>
  <c r="O120" i="3" s="1"/>
  <c r="F126" i="3"/>
  <c r="F10" i="3" s="1"/>
  <c r="H126" i="3"/>
  <c r="H10" i="3" s="1"/>
  <c r="J126" i="3"/>
  <c r="J10" i="3" s="1"/>
  <c r="L127" i="3"/>
  <c r="L126" i="3" s="1"/>
  <c r="L10" i="3" s="1"/>
  <c r="M128" i="3"/>
  <c r="G126" i="3"/>
  <c r="G10" i="3" s="1"/>
  <c r="I126" i="3"/>
  <c r="I10" i="3" s="1"/>
  <c r="M136" i="3"/>
  <c r="I22" i="10"/>
  <c r="Q168" i="3"/>
  <c r="O22" i="10" s="1"/>
  <c r="E187" i="3"/>
  <c r="L195" i="3"/>
  <c r="L192" i="3" s="1"/>
  <c r="M199" i="3"/>
  <c r="M202" i="3"/>
  <c r="D202" i="3"/>
  <c r="Z202" i="3" s="1"/>
  <c r="K19" i="1"/>
  <c r="K123" i="1" s="1"/>
  <c r="K185" i="1" s="1"/>
  <c r="J60" i="3"/>
  <c r="M64" i="3"/>
  <c r="M67" i="3"/>
  <c r="P66" i="3"/>
  <c r="M85" i="3"/>
  <c r="M84" i="3" s="1"/>
  <c r="L103" i="3"/>
  <c r="L102" i="3" s="1"/>
  <c r="M105" i="3"/>
  <c r="P102" i="3"/>
  <c r="M112" i="3"/>
  <c r="E116" i="3"/>
  <c r="E12" i="3" s="1"/>
  <c r="H115" i="3"/>
  <c r="H114" i="3" s="1"/>
  <c r="G118" i="3"/>
  <c r="L118" i="3"/>
  <c r="L123" i="3"/>
  <c r="L120" i="3" s="1"/>
  <c r="D131" i="3"/>
  <c r="M130" i="3"/>
  <c r="J22" i="10"/>
  <c r="D187" i="3"/>
  <c r="F186" i="3"/>
  <c r="H186" i="3"/>
  <c r="J186" i="3"/>
  <c r="L186" i="3"/>
  <c r="O186" i="3"/>
  <c r="Q186" i="3"/>
  <c r="J204" i="3"/>
  <c r="L204" i="3"/>
  <c r="F434" i="2"/>
  <c r="F433" i="2" s="1"/>
  <c r="K146" i="2"/>
  <c r="K145" i="2" s="1"/>
  <c r="I160" i="2"/>
  <c r="I157" i="2" s="1"/>
  <c r="H183" i="2"/>
  <c r="H13" i="2"/>
  <c r="E283" i="2"/>
  <c r="G282" i="2"/>
  <c r="K124" i="2"/>
  <c r="N127" i="2"/>
  <c r="G139" i="2"/>
  <c r="K139" i="2"/>
  <c r="P139" i="2"/>
  <c r="K157" i="2"/>
  <c r="P157" i="2"/>
  <c r="L11" i="12" s="1"/>
  <c r="L288" i="2"/>
  <c r="G145" i="2"/>
  <c r="O145" i="2"/>
  <c r="G157" i="2"/>
  <c r="O183" i="2"/>
  <c r="P239" i="2"/>
  <c r="O239" i="2"/>
  <c r="F214" i="2"/>
  <c r="H214" i="2"/>
  <c r="K214" i="2"/>
  <c r="N214" i="2"/>
  <c r="P214" i="2"/>
  <c r="O214" i="2"/>
  <c r="O329" i="2"/>
  <c r="F335" i="2"/>
  <c r="F370" i="2"/>
  <c r="J370" i="2"/>
  <c r="O370" i="2"/>
  <c r="L382" i="2"/>
  <c r="O382" i="2"/>
  <c r="L394" i="2"/>
  <c r="P393" i="2"/>
  <c r="N393" i="2"/>
  <c r="N414" i="2"/>
  <c r="N413" i="2" s="1"/>
  <c r="R431" i="2"/>
  <c r="L512" i="2"/>
  <c r="L511" i="2" s="1"/>
  <c r="M62" i="2"/>
  <c r="D62" i="2"/>
  <c r="M72" i="2"/>
  <c r="D74" i="2"/>
  <c r="D72" i="2" s="1"/>
  <c r="N90" i="2"/>
  <c r="D134" i="2"/>
  <c r="D133" i="2" s="1"/>
  <c r="M208" i="2"/>
  <c r="M207" i="2" s="1"/>
  <c r="D208" i="2"/>
  <c r="O208" i="2"/>
  <c r="O207" i="2" s="1"/>
  <c r="O415" i="2"/>
  <c r="D463" i="2"/>
  <c r="D462" i="2" s="1"/>
  <c r="M503" i="2"/>
  <c r="M502" i="2" s="1"/>
  <c r="D503" i="2"/>
  <c r="D502" i="2" s="1"/>
  <c r="M512" i="2"/>
  <c r="M511" i="2" s="1"/>
  <c r="D513" i="2"/>
  <c r="D512" i="2" s="1"/>
  <c r="D511" i="2" s="1"/>
  <c r="M121" i="2"/>
  <c r="O264" i="2"/>
  <c r="D158" i="2"/>
  <c r="O178" i="2"/>
  <c r="O177" i="2" s="1"/>
  <c r="K19" i="12" s="1"/>
  <c r="F198" i="2"/>
  <c r="H198" i="2"/>
  <c r="J198" i="2"/>
  <c r="L214" i="2"/>
  <c r="M220" i="2"/>
  <c r="M219" i="2" s="1"/>
  <c r="D220" i="2"/>
  <c r="D219" i="2" s="1"/>
  <c r="F326" i="2"/>
  <c r="D28" i="10" s="1"/>
  <c r="H326" i="2"/>
  <c r="F28" i="10" s="1"/>
  <c r="L326" i="2"/>
  <c r="J28" i="10" s="1"/>
  <c r="G335" i="2"/>
  <c r="N335" i="2"/>
  <c r="P335" i="2"/>
  <c r="G370" i="2"/>
  <c r="G369" i="2" s="1"/>
  <c r="K370" i="2"/>
  <c r="P370" i="2"/>
  <c r="R370" i="2"/>
  <c r="D25" i="2"/>
  <c r="N386" i="2"/>
  <c r="N385" i="2" s="1"/>
  <c r="D394" i="2"/>
  <c r="N415" i="2"/>
  <c r="N419" i="2"/>
  <c r="N422" i="2"/>
  <c r="N421" i="2" s="1"/>
  <c r="N427" i="2"/>
  <c r="N426" i="2" s="1"/>
  <c r="Q434" i="2"/>
  <c r="Q433" i="2" s="1"/>
  <c r="N439" i="2"/>
  <c r="P463" i="2"/>
  <c r="P462" i="2" s="1"/>
  <c r="Z462" i="2" s="1"/>
  <c r="Z486" i="2"/>
  <c r="Z498" i="2"/>
  <c r="Z502" i="2"/>
  <c r="O515" i="2"/>
  <c r="Z515" i="2" s="1"/>
  <c r="D34" i="2"/>
  <c r="D15" i="2"/>
  <c r="D22" i="2"/>
  <c r="P82" i="2"/>
  <c r="I90" i="2"/>
  <c r="N162" i="2"/>
  <c r="N183" i="2"/>
  <c r="P183" i="2"/>
  <c r="G403" i="2"/>
  <c r="K403" i="2"/>
  <c r="G183" i="2"/>
  <c r="I183" i="2"/>
  <c r="K183" i="2"/>
  <c r="G198" i="2"/>
  <c r="K198" i="2"/>
  <c r="M80" i="2"/>
  <c r="D257" i="2"/>
  <c r="G112" i="2"/>
  <c r="K112" i="2"/>
  <c r="N403" i="2"/>
  <c r="O112" i="2"/>
  <c r="D139" i="2"/>
  <c r="F118" i="2"/>
  <c r="J118" i="2"/>
  <c r="D265" i="2"/>
  <c r="D264" i="2" s="1"/>
  <c r="L319" i="2"/>
  <c r="O319" i="2"/>
  <c r="L276" i="2"/>
  <c r="F282" i="2"/>
  <c r="H282" i="2"/>
  <c r="K282" i="2"/>
  <c r="N282" i="2"/>
  <c r="P282" i="2"/>
  <c r="L127" i="2"/>
  <c r="I17" i="12"/>
  <c r="H17" i="12" s="1"/>
  <c r="F145" i="2"/>
  <c r="H145" i="2"/>
  <c r="I13" i="12"/>
  <c r="H13" i="12" s="1"/>
  <c r="I21" i="12"/>
  <c r="G326" i="2"/>
  <c r="E28" i="10" s="1"/>
  <c r="P326" i="2"/>
  <c r="N28" i="10" s="1"/>
  <c r="D390" i="2"/>
  <c r="O404" i="2"/>
  <c r="E406" i="2"/>
  <c r="Q412" i="2"/>
  <c r="O38" i="10" s="1"/>
  <c r="E455" i="2"/>
  <c r="E454" i="2" s="1"/>
  <c r="O455" i="2"/>
  <c r="O454" i="2" s="1"/>
  <c r="O432" i="2" s="1"/>
  <c r="L523" i="2"/>
  <c r="M524" i="2"/>
  <c r="N118" i="2"/>
  <c r="M310" i="2"/>
  <c r="D310" i="2" s="1"/>
  <c r="M318" i="2"/>
  <c r="D318" i="2" s="1"/>
  <c r="I16" i="12"/>
  <c r="L297" i="2"/>
  <c r="L294" i="2" s="1"/>
  <c r="L154" i="2"/>
  <c r="L151" i="2" s="1"/>
  <c r="L165" i="2"/>
  <c r="L162" i="2" s="1"/>
  <c r="P168" i="2"/>
  <c r="L23" i="12" s="1"/>
  <c r="F168" i="2"/>
  <c r="H168" i="2"/>
  <c r="J168" i="2"/>
  <c r="L174" i="2"/>
  <c r="L173" i="2" s="1"/>
  <c r="I20" i="12"/>
  <c r="L186" i="2"/>
  <c r="L183" i="2" s="1"/>
  <c r="F189" i="2"/>
  <c r="H189" i="2"/>
  <c r="E195" i="2"/>
  <c r="E194" i="2" s="1"/>
  <c r="E245" i="2"/>
  <c r="E244" i="2" s="1"/>
  <c r="E215" i="2"/>
  <c r="E214" i="2" s="1"/>
  <c r="I214" i="2"/>
  <c r="M455" i="2"/>
  <c r="M454" i="2" s="1"/>
  <c r="M437" i="2"/>
  <c r="J68" i="1" s="1"/>
  <c r="Z482" i="2"/>
  <c r="M487" i="2"/>
  <c r="M486" i="2" s="1"/>
  <c r="I23" i="6"/>
  <c r="I22" i="6" s="1"/>
  <c r="I21" i="6" s="1"/>
  <c r="K23" i="6"/>
  <c r="K22" i="6" s="1"/>
  <c r="K21" i="6" s="1"/>
  <c r="J25" i="6"/>
  <c r="J21" i="6" s="1"/>
  <c r="D78" i="6"/>
  <c r="I81" i="6"/>
  <c r="I80" i="6" s="1"/>
  <c r="K97" i="6"/>
  <c r="K94" i="6" s="1"/>
  <c r="I30" i="10" s="1"/>
  <c r="I256" i="6"/>
  <c r="I255" i="6" s="1"/>
  <c r="I246" i="6" s="1"/>
  <c r="N256" i="6"/>
  <c r="N255" i="6" s="1"/>
  <c r="N246" i="6" s="1"/>
  <c r="D260" i="6"/>
  <c r="D259" i="6" s="1"/>
  <c r="J253" i="6"/>
  <c r="J252" i="6" s="1"/>
  <c r="J251" i="6" s="1"/>
  <c r="I16" i="6"/>
  <c r="F19" i="1" s="1"/>
  <c r="F123" i="1" s="1"/>
  <c r="F185" i="1" s="1"/>
  <c r="L23" i="6"/>
  <c r="K91" i="6"/>
  <c r="K90" i="6" s="1"/>
  <c r="H99" i="6"/>
  <c r="F31" i="10" s="1"/>
  <c r="F26" i="10" s="1"/>
  <c r="D102" i="6"/>
  <c r="J111" i="6"/>
  <c r="J110" i="6" s="1"/>
  <c r="D111" i="6"/>
  <c r="D110" i="6" s="1"/>
  <c r="J250" i="6"/>
  <c r="D250" i="6"/>
  <c r="I73" i="6"/>
  <c r="I72" i="6" s="1"/>
  <c r="I11" i="6" s="1"/>
  <c r="O28" i="6"/>
  <c r="M19" i="10" s="1"/>
  <c r="J73" i="6"/>
  <c r="J72" i="6" s="1"/>
  <c r="J11" i="6" s="1"/>
  <c r="L73" i="6"/>
  <c r="L72" i="6" s="1"/>
  <c r="L11" i="6" s="1"/>
  <c r="L19" i="6"/>
  <c r="R244" i="6"/>
  <c r="P431" i="2"/>
  <c r="M59" i="1" s="1"/>
  <c r="E22" i="6"/>
  <c r="E19" i="6"/>
  <c r="G105" i="6"/>
  <c r="G12" i="6" s="1"/>
  <c r="I249" i="6"/>
  <c r="I248" i="6" s="1"/>
  <c r="I247" i="6" s="1"/>
  <c r="O248" i="6"/>
  <c r="O247" i="6" s="1"/>
  <c r="P94" i="6"/>
  <c r="N30" i="10" s="1"/>
  <c r="Q99" i="6"/>
  <c r="J94" i="6"/>
  <c r="H30" i="10" s="1"/>
  <c r="K244" i="6"/>
  <c r="G94" i="6"/>
  <c r="E30" i="10" s="1"/>
  <c r="I94" i="6"/>
  <c r="G30" i="10" s="1"/>
  <c r="F99" i="6"/>
  <c r="D31" i="10" s="1"/>
  <c r="D26" i="10" s="1"/>
  <c r="J99" i="6"/>
  <c r="H31" i="10" s="1"/>
  <c r="K102" i="6"/>
  <c r="E105" i="6"/>
  <c r="E12" i="6" s="1"/>
  <c r="I105" i="6"/>
  <c r="P249" i="6"/>
  <c r="X249" i="6" s="1"/>
  <c r="P19" i="6"/>
  <c r="Q19" i="6"/>
  <c r="D49" i="3"/>
  <c r="W32" i="10"/>
  <c r="L94" i="6"/>
  <c r="J30" i="10" s="1"/>
  <c r="O94" i="6"/>
  <c r="N94" i="6"/>
  <c r="L30" i="10" s="1"/>
  <c r="D134" i="8"/>
  <c r="D133" i="8" s="1"/>
  <c r="N30" i="8"/>
  <c r="N23" i="8" s="1"/>
  <c r="AA18" i="4"/>
  <c r="N40" i="4"/>
  <c r="N22" i="5"/>
  <c r="L22" i="5"/>
  <c r="L11" i="5" s="1"/>
  <c r="N33" i="5"/>
  <c r="O118" i="2"/>
  <c r="L189" i="2"/>
  <c r="J189" i="2"/>
  <c r="O192" i="8"/>
  <c r="O191" i="8" s="1"/>
  <c r="P18" i="8"/>
  <c r="N69" i="8"/>
  <c r="O56" i="7"/>
  <c r="P25" i="6"/>
  <c r="P21" i="6" s="1"/>
  <c r="L14" i="4"/>
  <c r="L13" i="4" s="1"/>
  <c r="N38" i="7"/>
  <c r="J68" i="2"/>
  <c r="N256" i="2"/>
  <c r="P256" i="2"/>
  <c r="O124" i="2"/>
  <c r="E151" i="2"/>
  <c r="G151" i="2"/>
  <c r="I151" i="2"/>
  <c r="K151" i="2"/>
  <c r="N55" i="2"/>
  <c r="N54" i="2" s="1"/>
  <c r="E57" i="2"/>
  <c r="M57" i="2" s="1"/>
  <c r="D57" i="2" s="1"/>
  <c r="D225" i="2"/>
  <c r="E69" i="2"/>
  <c r="N69" i="2"/>
  <c r="N68" i="2" s="1"/>
  <c r="L76" i="2"/>
  <c r="L75" i="2" s="1"/>
  <c r="K83" i="2"/>
  <c r="N83" i="2"/>
  <c r="N82" i="2" s="1"/>
  <c r="F90" i="2"/>
  <c r="H90" i="2"/>
  <c r="J90" i="2"/>
  <c r="O90" i="2"/>
  <c r="L108" i="2"/>
  <c r="L105" i="2" s="1"/>
  <c r="E121" i="2"/>
  <c r="E118" i="2" s="1"/>
  <c r="G118" i="2"/>
  <c r="I118" i="2"/>
  <c r="K118" i="2"/>
  <c r="P118" i="2"/>
  <c r="E305" i="2"/>
  <c r="D305" i="2" s="1"/>
  <c r="E309" i="2"/>
  <c r="E306" i="2" s="1"/>
  <c r="E264" i="2"/>
  <c r="G264" i="2"/>
  <c r="I264" i="2"/>
  <c r="K264" i="2"/>
  <c r="N264" i="2"/>
  <c r="P264" i="2"/>
  <c r="E271" i="2"/>
  <c r="E273" i="2"/>
  <c r="J312" i="2"/>
  <c r="F319" i="2"/>
  <c r="H319" i="2"/>
  <c r="J319" i="2"/>
  <c r="O276" i="2"/>
  <c r="E285" i="2"/>
  <c r="I282" i="2"/>
  <c r="J125" i="2"/>
  <c r="J124" i="2" s="1"/>
  <c r="N125" i="2"/>
  <c r="F124" i="2"/>
  <c r="H124" i="2"/>
  <c r="G133" i="2"/>
  <c r="I133" i="2"/>
  <c r="K133" i="2"/>
  <c r="N133" i="2"/>
  <c r="P133" i="2"/>
  <c r="E292" i="2"/>
  <c r="E149" i="2"/>
  <c r="E145" i="2" s="1"/>
  <c r="I145" i="2"/>
  <c r="N151" i="2"/>
  <c r="P151" i="2"/>
  <c r="N160" i="2"/>
  <c r="F162" i="2"/>
  <c r="E165" i="2"/>
  <c r="O162" i="2"/>
  <c r="Q431" i="2"/>
  <c r="F30" i="3"/>
  <c r="H30" i="3"/>
  <c r="J30" i="3"/>
  <c r="L30" i="3"/>
  <c r="I49" i="3"/>
  <c r="I48" i="3" s="1"/>
  <c r="E61" i="3"/>
  <c r="E60" i="3" s="1"/>
  <c r="O60" i="3"/>
  <c r="F66" i="3"/>
  <c r="H66" i="3"/>
  <c r="J66" i="3"/>
  <c r="L66" i="3"/>
  <c r="O70" i="3"/>
  <c r="O66" i="3" s="1"/>
  <c r="Z66" i="3" s="1"/>
  <c r="N72" i="3"/>
  <c r="L82" i="3"/>
  <c r="N84" i="3"/>
  <c r="P84" i="3"/>
  <c r="N102" i="3"/>
  <c r="L108" i="3"/>
  <c r="E115" i="3"/>
  <c r="F36" i="10"/>
  <c r="G162" i="2"/>
  <c r="I162" i="2"/>
  <c r="K162" i="2"/>
  <c r="P162" i="2"/>
  <c r="E171" i="2"/>
  <c r="E168" i="2" s="1"/>
  <c r="I168" i="2"/>
  <c r="N181" i="2"/>
  <c r="D190" i="2"/>
  <c r="D189" i="2" s="1"/>
  <c r="E199" i="2"/>
  <c r="I239" i="2"/>
  <c r="N208" i="2"/>
  <c r="N207" i="2" s="1"/>
  <c r="G214" i="2"/>
  <c r="O327" i="2"/>
  <c r="E336" i="2"/>
  <c r="E338" i="2"/>
  <c r="E341" i="2"/>
  <c r="E340" i="2" s="1"/>
  <c r="N370" i="2"/>
  <c r="Z466" i="2"/>
  <c r="Z474" i="2"/>
  <c r="N499" i="2"/>
  <c r="N498" i="2" s="1"/>
  <c r="Z531" i="2"/>
  <c r="K60" i="3"/>
  <c r="D67" i="3"/>
  <c r="E106" i="3"/>
  <c r="E102" i="3" s="1"/>
  <c r="D62" i="4"/>
  <c r="D61" i="4"/>
  <c r="O108" i="3"/>
  <c r="N120" i="3"/>
  <c r="I120" i="3"/>
  <c r="N126" i="3"/>
  <c r="N10" i="3" s="1"/>
  <c r="G21" i="10"/>
  <c r="F22" i="10"/>
  <c r="Z198" i="3"/>
  <c r="E23" i="4"/>
  <c r="G23" i="4"/>
  <c r="I23" i="4"/>
  <c r="K23" i="4"/>
  <c r="O27" i="5"/>
  <c r="M37" i="10" s="1"/>
  <c r="Q27" i="5"/>
  <c r="O37" i="10" s="1"/>
  <c r="P76" i="5"/>
  <c r="O33" i="6"/>
  <c r="M20" i="10" s="1"/>
  <c r="L244" i="6"/>
  <c r="G12" i="7"/>
  <c r="G11" i="7" s="1"/>
  <c r="I12" i="7"/>
  <c r="I11" i="7" s="1"/>
  <c r="E17" i="7"/>
  <c r="I17" i="7"/>
  <c r="D41" i="7"/>
  <c r="E41" i="7"/>
  <c r="E38" i="7" s="1"/>
  <c r="Q44" i="7"/>
  <c r="D190" i="8"/>
  <c r="D211" i="8"/>
  <c r="D210" i="8" s="1"/>
  <c r="J102" i="3"/>
  <c r="G102" i="3"/>
  <c r="F108" i="3"/>
  <c r="H108" i="3"/>
  <c r="F115" i="3"/>
  <c r="F114" i="3" s="1"/>
  <c r="J115" i="3"/>
  <c r="J114" i="3" s="1"/>
  <c r="J120" i="3"/>
  <c r="D21" i="10"/>
  <c r="F21" i="10"/>
  <c r="C21" i="10"/>
  <c r="L21" i="10"/>
  <c r="I9" i="10"/>
  <c r="P174" i="3"/>
  <c r="Q174" i="3"/>
  <c r="E193" i="3"/>
  <c r="G192" i="3"/>
  <c r="I192" i="3"/>
  <c r="K192" i="3"/>
  <c r="N192" i="3"/>
  <c r="P192" i="3"/>
  <c r="F192" i="3"/>
  <c r="H192" i="3"/>
  <c r="J192" i="3"/>
  <c r="O192" i="3"/>
  <c r="Q192" i="3"/>
  <c r="K10" i="4"/>
  <c r="P10" i="4"/>
  <c r="R10" i="4"/>
  <c r="G14" i="4"/>
  <c r="G13" i="4" s="1"/>
  <c r="I14" i="4"/>
  <c r="I13" i="4" s="1"/>
  <c r="P14" i="4"/>
  <c r="P13" i="4" s="1"/>
  <c r="R14" i="4"/>
  <c r="R13" i="4" s="1"/>
  <c r="O14" i="4"/>
  <c r="H14" i="4"/>
  <c r="H13" i="4" s="1"/>
  <c r="D47" i="4"/>
  <c r="J61" i="4"/>
  <c r="J62" i="4"/>
  <c r="N79" i="4"/>
  <c r="N78" i="4" s="1"/>
  <c r="D84" i="4"/>
  <c r="D83" i="4" s="1"/>
  <c r="E23" i="5"/>
  <c r="E22" i="5" s="1"/>
  <c r="E11" i="5" s="1"/>
  <c r="E39" i="5"/>
  <c r="N38" i="5"/>
  <c r="E45" i="5"/>
  <c r="E44" i="5" s="1"/>
  <c r="L71" i="5"/>
  <c r="I70" i="1" s="1"/>
  <c r="E77" i="5"/>
  <c r="G77" i="5"/>
  <c r="I77" i="5"/>
  <c r="N101" i="5"/>
  <c r="N97" i="5" s="1"/>
  <c r="K100" i="6"/>
  <c r="N99" i="6"/>
  <c r="L31" i="10" s="1"/>
  <c r="L106" i="6"/>
  <c r="L105" i="6" s="1"/>
  <c r="L12" i="6" s="1"/>
  <c r="F105" i="6"/>
  <c r="H105" i="6"/>
  <c r="H12" i="6" s="1"/>
  <c r="O105" i="6"/>
  <c r="O12" i="6" s="1"/>
  <c r="Q244" i="6"/>
  <c r="J249" i="6"/>
  <c r="L249" i="6"/>
  <c r="E245" i="6"/>
  <c r="B59" i="1" s="1"/>
  <c r="G245" i="6"/>
  <c r="D59" i="1" s="1"/>
  <c r="I245" i="6"/>
  <c r="F59" i="1" s="1"/>
  <c r="Q32" i="7"/>
  <c r="L50" i="7"/>
  <c r="E53" i="7"/>
  <c r="E50" i="7" s="1"/>
  <c r="O50" i="7"/>
  <c r="O181" i="8"/>
  <c r="P68" i="7"/>
  <c r="R68" i="7"/>
  <c r="L16" i="7"/>
  <c r="I73" i="1" s="1"/>
  <c r="I72" i="1" s="1"/>
  <c r="O16" i="7"/>
  <c r="O15" i="7" s="1"/>
  <c r="K86" i="7"/>
  <c r="N86" i="7"/>
  <c r="G12" i="8"/>
  <c r="G16" i="10"/>
  <c r="G18" i="10"/>
  <c r="K16" i="8"/>
  <c r="H20" i="1" s="1"/>
  <c r="H124" i="1" s="1"/>
  <c r="H190" i="1" s="1"/>
  <c r="L30" i="8"/>
  <c r="O30" i="8"/>
  <c r="F127" i="8"/>
  <c r="D14" i="10" s="1"/>
  <c r="E154" i="8"/>
  <c r="G154" i="8"/>
  <c r="I154" i="8"/>
  <c r="K154" i="8"/>
  <c r="N154" i="8"/>
  <c r="P154" i="8"/>
  <c r="R154" i="8"/>
  <c r="E167" i="8"/>
  <c r="I167" i="8"/>
  <c r="K167" i="8"/>
  <c r="D174" i="8"/>
  <c r="G192" i="8"/>
  <c r="G191" i="8" s="1"/>
  <c r="I192" i="8"/>
  <c r="I191" i="8" s="1"/>
  <c r="K192" i="8"/>
  <c r="K191" i="8" s="1"/>
  <c r="E198" i="8"/>
  <c r="E183" i="8" s="1"/>
  <c r="E181" i="8" s="1"/>
  <c r="I198" i="8"/>
  <c r="I183" i="8" s="1"/>
  <c r="I181" i="8" s="1"/>
  <c r="K198" i="8"/>
  <c r="K183" i="8" s="1"/>
  <c r="K181" i="8" s="1"/>
  <c r="I32" i="7"/>
  <c r="J38" i="7"/>
  <c r="L38" i="7"/>
  <c r="O38" i="7"/>
  <c r="Q38" i="7"/>
  <c r="K44" i="7"/>
  <c r="N44" i="7"/>
  <c r="J50" i="7"/>
  <c r="Q50" i="7"/>
  <c r="D72" i="7"/>
  <c r="N75" i="7"/>
  <c r="R74" i="7"/>
  <c r="O13" i="8"/>
  <c r="F18" i="8"/>
  <c r="H18" i="8"/>
  <c r="H12" i="8" s="1"/>
  <c r="E24" i="8"/>
  <c r="G24" i="8"/>
  <c r="I24" i="8"/>
  <c r="L35" i="8"/>
  <c r="E40" i="8"/>
  <c r="J40" i="8"/>
  <c r="J35" i="8" s="1"/>
  <c r="O40" i="8"/>
  <c r="O35" i="8" s="1"/>
  <c r="L45" i="8"/>
  <c r="L44" i="8" s="1"/>
  <c r="O45" i="8"/>
  <c r="O44" i="8" s="1"/>
  <c r="M16" i="10" s="1"/>
  <c r="K55" i="8"/>
  <c r="L61" i="8"/>
  <c r="O61" i="8"/>
  <c r="K69" i="8"/>
  <c r="P69" i="8"/>
  <c r="O82" i="8"/>
  <c r="H113" i="8"/>
  <c r="K117" i="8"/>
  <c r="K113" i="8" s="1"/>
  <c r="D141" i="8"/>
  <c r="D140" i="8" s="1"/>
  <c r="E140" i="8"/>
  <c r="G140" i="8"/>
  <c r="G10" i="8" s="1"/>
  <c r="I140" i="8"/>
  <c r="K140" i="8"/>
  <c r="N140" i="8"/>
  <c r="P140" i="8"/>
  <c r="R140" i="8"/>
  <c r="D185" i="8"/>
  <c r="D184" i="8" s="1"/>
  <c r="H183" i="8"/>
  <c r="H181" i="8" s="1"/>
  <c r="L183" i="8"/>
  <c r="L181" i="8" s="1"/>
  <c r="D206" i="8"/>
  <c r="D205" i="8" s="1"/>
  <c r="G183" i="8"/>
  <c r="G181" i="8" s="1"/>
  <c r="D16" i="9"/>
  <c r="N23" i="9"/>
  <c r="F22" i="9"/>
  <c r="H22" i="9"/>
  <c r="F34" i="10" s="1"/>
  <c r="J25" i="9"/>
  <c r="N32" i="9"/>
  <c r="H120" i="9"/>
  <c r="L120" i="9"/>
  <c r="F31" i="9"/>
  <c r="F10" i="9" s="1"/>
  <c r="H31" i="9"/>
  <c r="H10" i="9" s="1"/>
  <c r="J31" i="9"/>
  <c r="J10" i="9" s="1"/>
  <c r="N43" i="9"/>
  <c r="P40" i="9"/>
  <c r="K62" i="9"/>
  <c r="K61" i="9" s="1"/>
  <c r="I84" i="9"/>
  <c r="D84" i="9" s="1"/>
  <c r="Z84" i="9" s="1"/>
  <c r="D120" i="9"/>
  <c r="F120" i="9"/>
  <c r="J120" i="9"/>
  <c r="E38" i="2"/>
  <c r="D271" i="2"/>
  <c r="D251" i="2"/>
  <c r="D249" i="2" s="1"/>
  <c r="D51" i="2"/>
  <c r="D424" i="2"/>
  <c r="N512" i="2"/>
  <c r="N511" i="2" s="1"/>
  <c r="N31" i="3"/>
  <c r="D34" i="3"/>
  <c r="N34" i="3"/>
  <c r="N43" i="3"/>
  <c r="N42" i="3" s="1"/>
  <c r="N49" i="3"/>
  <c r="I61" i="3"/>
  <c r="I60" i="3" s="1"/>
  <c r="N82" i="3"/>
  <c r="N78" i="3" s="1"/>
  <c r="Z90" i="3"/>
  <c r="I111" i="3"/>
  <c r="I108" i="3" s="1"/>
  <c r="E118" i="3"/>
  <c r="E114" i="3" s="1"/>
  <c r="O118" i="3"/>
  <c r="O114" i="3" s="1"/>
  <c r="G123" i="3"/>
  <c r="G120" i="3" s="1"/>
  <c r="L55" i="2"/>
  <c r="L54" i="2" s="1"/>
  <c r="E64" i="2"/>
  <c r="E61" i="2" s="1"/>
  <c r="E78" i="2"/>
  <c r="E75" i="2" s="1"/>
  <c r="K87" i="2"/>
  <c r="L91" i="2"/>
  <c r="L90" i="2" s="1"/>
  <c r="E94" i="2"/>
  <c r="E90" i="2" s="1"/>
  <c r="I99" i="2"/>
  <c r="N99" i="2"/>
  <c r="N98" i="2" s="1"/>
  <c r="I102" i="2"/>
  <c r="G304" i="2"/>
  <c r="N277" i="2"/>
  <c r="N276" i="2" s="1"/>
  <c r="D277" i="2"/>
  <c r="E280" i="2"/>
  <c r="E276" i="2" s="1"/>
  <c r="L125" i="2"/>
  <c r="I127" i="2"/>
  <c r="I124" i="2" s="1"/>
  <c r="E137" i="2"/>
  <c r="I288" i="2"/>
  <c r="J160" i="2"/>
  <c r="J157" i="2" s="1"/>
  <c r="L160" i="2"/>
  <c r="L168" i="2"/>
  <c r="O168" i="2"/>
  <c r="K23" i="12" s="1"/>
  <c r="N171" i="2"/>
  <c r="L181" i="2"/>
  <c r="N240" i="2"/>
  <c r="N239" i="2" s="1"/>
  <c r="L208" i="2"/>
  <c r="L211" i="2"/>
  <c r="O447" i="2"/>
  <c r="O446" i="2" s="1"/>
  <c r="Z446" i="2" s="1"/>
  <c r="N467" i="2"/>
  <c r="N466" i="2" s="1"/>
  <c r="E475" i="2"/>
  <c r="E474" i="2" s="1"/>
  <c r="D437" i="2"/>
  <c r="L503" i="2"/>
  <c r="L502" i="2" s="1"/>
  <c r="N515" i="2"/>
  <c r="O523" i="2"/>
  <c r="Z535" i="2"/>
  <c r="Z23" i="3"/>
  <c r="D31" i="3"/>
  <c r="E31" i="3"/>
  <c r="E30" i="3" s="1"/>
  <c r="N51" i="3"/>
  <c r="D85" i="3"/>
  <c r="D84" i="3" s="1"/>
  <c r="L85" i="3"/>
  <c r="L84" i="3" s="1"/>
  <c r="J21" i="10"/>
  <c r="I19" i="1"/>
  <c r="I123" i="1" s="1"/>
  <c r="I185" i="1" s="1"/>
  <c r="G114" i="3"/>
  <c r="I114" i="3"/>
  <c r="B33" i="1"/>
  <c r="B136" i="1" s="1"/>
  <c r="B198" i="1" s="1"/>
  <c r="E202" i="3"/>
  <c r="Q13" i="4"/>
  <c r="F14" i="4"/>
  <c r="F13" i="4" s="1"/>
  <c r="J14" i="4"/>
  <c r="E54" i="4"/>
  <c r="E53" i="4" s="1"/>
  <c r="E17" i="4"/>
  <c r="B67" i="1" s="1"/>
  <c r="B122" i="1" s="1"/>
  <c r="D19" i="4"/>
  <c r="N54" i="4"/>
  <c r="N53" i="4" s="1"/>
  <c r="N19" i="4"/>
  <c r="K68" i="1" s="1"/>
  <c r="K125" i="1" s="1"/>
  <c r="K186" i="1" s="1"/>
  <c r="J36" i="10"/>
  <c r="D36" i="10"/>
  <c r="H36" i="10"/>
  <c r="D25" i="5"/>
  <c r="D22" i="5" s="1"/>
  <c r="E36" i="10"/>
  <c r="G10" i="5"/>
  <c r="G36" i="10"/>
  <c r="I10" i="5"/>
  <c r="I36" i="10"/>
  <c r="K10" i="5"/>
  <c r="D39" i="5"/>
  <c r="E38" i="5"/>
  <c r="L98" i="5"/>
  <c r="L97" i="5" s="1"/>
  <c r="L79" i="5"/>
  <c r="L61" i="5" s="1"/>
  <c r="N74" i="6"/>
  <c r="K106" i="6"/>
  <c r="K105" i="6" s="1"/>
  <c r="K12" i="6" s="1"/>
  <c r="N106" i="6"/>
  <c r="N105" i="6" s="1"/>
  <c r="N264" i="6"/>
  <c r="N263" i="6" s="1"/>
  <c r="N245" i="6" s="1"/>
  <c r="N249" i="6"/>
  <c r="J264" i="6"/>
  <c r="J263" i="6" s="1"/>
  <c r="D30" i="7"/>
  <c r="J29" i="7"/>
  <c r="J28" i="7" s="1"/>
  <c r="L29" i="7"/>
  <c r="L28" i="7" s="1"/>
  <c r="L21" i="7"/>
  <c r="I82" i="1" s="1"/>
  <c r="I81" i="1" s="1"/>
  <c r="E33" i="7"/>
  <c r="E32" i="7" s="1"/>
  <c r="N36" i="7"/>
  <c r="N32" i="7" s="1"/>
  <c r="K53" i="7"/>
  <c r="K50" i="7" s="1"/>
  <c r="K21" i="7"/>
  <c r="K20" i="7" s="1"/>
  <c r="N53" i="7"/>
  <c r="N50" i="7" s="1"/>
  <c r="AA21" i="7"/>
  <c r="L80" i="7"/>
  <c r="O81" i="7"/>
  <c r="O80" i="7" s="1"/>
  <c r="O10" i="7"/>
  <c r="O8" i="7" s="1"/>
  <c r="AA8" i="7" s="1"/>
  <c r="J18" i="8"/>
  <c r="O18" i="8"/>
  <c r="Q18" i="8"/>
  <c r="F15" i="10"/>
  <c r="J15" i="10"/>
  <c r="L10" i="8"/>
  <c r="I40" i="8"/>
  <c r="I35" i="8" s="1"/>
  <c r="I21" i="8"/>
  <c r="F29" i="1" s="1"/>
  <c r="F129" i="1" s="1"/>
  <c r="F191" i="1" s="1"/>
  <c r="F16" i="10"/>
  <c r="H16" i="10"/>
  <c r="E45" i="8"/>
  <c r="E44" i="8" s="1"/>
  <c r="C16" i="10" s="1"/>
  <c r="O17" i="10"/>
  <c r="Q11" i="8"/>
  <c r="N14" i="1" s="1"/>
  <c r="G34" i="10"/>
  <c r="I9" i="9"/>
  <c r="I8" i="9" s="1"/>
  <c r="E190" i="3"/>
  <c r="E186" i="3" s="1"/>
  <c r="E207" i="3"/>
  <c r="N10" i="4"/>
  <c r="O70" i="4"/>
  <c r="N30" i="5"/>
  <c r="D85" i="5"/>
  <c r="I84" i="5"/>
  <c r="I83" i="5" s="1"/>
  <c r="D83" i="5" s="1"/>
  <c r="I73" i="5"/>
  <c r="I70" i="5" s="1"/>
  <c r="I69" i="5" s="1"/>
  <c r="D88" i="5"/>
  <c r="J87" i="5"/>
  <c r="D87" i="5" s="1"/>
  <c r="L105" i="5"/>
  <c r="L104" i="5" s="1"/>
  <c r="L72" i="5"/>
  <c r="L70" i="5" s="1"/>
  <c r="L69" i="5" s="1"/>
  <c r="E19" i="10"/>
  <c r="O73" i="6"/>
  <c r="O72" i="6" s="1"/>
  <c r="O11" i="6" s="1"/>
  <c r="N86" i="6"/>
  <c r="M86" i="6" s="1"/>
  <c r="L100" i="6"/>
  <c r="L99" i="6" s="1"/>
  <c r="O100" i="6"/>
  <c r="O99" i="6" s="1"/>
  <c r="M31" i="10" s="1"/>
  <c r="M26" i="10" s="1"/>
  <c r="K17" i="7"/>
  <c r="E24" i="7"/>
  <c r="E23" i="7" s="1"/>
  <c r="E10" i="7"/>
  <c r="K10" i="7"/>
  <c r="K14" i="7"/>
  <c r="E45" i="7"/>
  <c r="E44" i="7" s="1"/>
  <c r="D77" i="7"/>
  <c r="D74" i="7" s="1"/>
  <c r="N77" i="7"/>
  <c r="N74" i="7" s="1"/>
  <c r="E23" i="8"/>
  <c r="G23" i="8"/>
  <c r="J14" i="8"/>
  <c r="D62" i="8"/>
  <c r="K62" i="8"/>
  <c r="K25" i="8"/>
  <c r="D65" i="8"/>
  <c r="K65" i="8"/>
  <c r="F17" i="10"/>
  <c r="H11" i="8"/>
  <c r="E108" i="8"/>
  <c r="M108" i="8" s="1"/>
  <c r="D108" i="8" s="1"/>
  <c r="F107" i="8"/>
  <c r="F106" i="8" s="1"/>
  <c r="F10" i="8" s="1"/>
  <c r="J114" i="8"/>
  <c r="J26" i="8"/>
  <c r="G35" i="1" s="1"/>
  <c r="L114" i="8"/>
  <c r="L113" i="8" s="1"/>
  <c r="L26" i="8"/>
  <c r="I35" i="1" s="1"/>
  <c r="O114" i="8"/>
  <c r="O113" i="8" s="1"/>
  <c r="M14" i="10" s="1"/>
  <c r="J117" i="8"/>
  <c r="J32" i="8"/>
  <c r="G43" i="1" s="1"/>
  <c r="D130" i="8"/>
  <c r="D127" i="8" s="1"/>
  <c r="I130" i="8"/>
  <c r="I127" i="8" s="1"/>
  <c r="I118" i="8"/>
  <c r="M118" i="8" s="1"/>
  <c r="K137" i="8"/>
  <c r="K136" i="8" s="1"/>
  <c r="R11" i="8"/>
  <c r="O14" i="1" s="1"/>
  <c r="E34" i="10"/>
  <c r="G9" i="9"/>
  <c r="J23" i="9"/>
  <c r="J22" i="9" s="1"/>
  <c r="J12" i="9"/>
  <c r="L23" i="9"/>
  <c r="L22" i="9" s="1"/>
  <c r="D34" i="10"/>
  <c r="F9" i="9"/>
  <c r="H9" i="9"/>
  <c r="N98" i="9"/>
  <c r="N95" i="9" s="1"/>
  <c r="J54" i="3"/>
  <c r="L54" i="3"/>
  <c r="O54" i="3"/>
  <c r="Z54" i="3" s="1"/>
  <c r="N67" i="3"/>
  <c r="N66" i="3" s="1"/>
  <c r="L79" i="3"/>
  <c r="L78" i="3" s="1"/>
  <c r="J108" i="3"/>
  <c r="K114" i="3"/>
  <c r="P114" i="3"/>
  <c r="Z126" i="3"/>
  <c r="D129" i="3"/>
  <c r="E127" i="3"/>
  <c r="E126" i="3" s="1"/>
  <c r="E10" i="3" s="1"/>
  <c r="C22" i="10"/>
  <c r="E195" i="3"/>
  <c r="E199" i="3"/>
  <c r="E204" i="3"/>
  <c r="N204" i="3"/>
  <c r="N14" i="4"/>
  <c r="AA25" i="4"/>
  <c r="P23" i="4"/>
  <c r="K17" i="4"/>
  <c r="E45" i="4"/>
  <c r="J10" i="4"/>
  <c r="O67" i="4"/>
  <c r="O66" i="4" s="1"/>
  <c r="O10" i="4"/>
  <c r="N24" i="4"/>
  <c r="K76" i="1" s="1"/>
  <c r="N75" i="4"/>
  <c r="N27" i="4"/>
  <c r="K82" i="1" s="1"/>
  <c r="K81" i="1" s="1"/>
  <c r="D79" i="4"/>
  <c r="D78" i="4" s="1"/>
  <c r="E79" i="4"/>
  <c r="E78" i="4" s="1"/>
  <c r="E16" i="4"/>
  <c r="E15" i="5"/>
  <c r="N15" i="5"/>
  <c r="D72" i="5"/>
  <c r="N92" i="5"/>
  <c r="N91" i="5" s="1"/>
  <c r="K78" i="5"/>
  <c r="K77" i="5" s="1"/>
  <c r="N77" i="5"/>
  <c r="N76" i="5" s="1"/>
  <c r="K81" i="5"/>
  <c r="O81" i="6"/>
  <c r="O80" i="6" s="1"/>
  <c r="E95" i="6"/>
  <c r="E94" i="6" s="1"/>
  <c r="E99" i="6"/>
  <c r="C31" i="10" s="1"/>
  <c r="G99" i="6"/>
  <c r="E31" i="10" s="1"/>
  <c r="E26" i="10" s="1"/>
  <c r="I99" i="6"/>
  <c r="G31" i="10" s="1"/>
  <c r="P99" i="6"/>
  <c r="O256" i="6"/>
  <c r="O255" i="6" s="1"/>
  <c r="J260" i="6"/>
  <c r="J259" i="6" s="1"/>
  <c r="O260" i="6"/>
  <c r="O259" i="6" s="1"/>
  <c r="O245" i="6" s="1"/>
  <c r="J33" i="7"/>
  <c r="J32" i="7" s="1"/>
  <c r="J14" i="7"/>
  <c r="G67" i="1" s="1"/>
  <c r="G122" i="1" s="1"/>
  <c r="G184" i="1" s="1"/>
  <c r="L33" i="7"/>
  <c r="L32" i="7" s="1"/>
  <c r="L14" i="7"/>
  <c r="I67" i="1" s="1"/>
  <c r="I122" i="1" s="1"/>
  <c r="I184" i="1" s="1"/>
  <c r="O33" i="7"/>
  <c r="O32" i="7" s="1"/>
  <c r="O14" i="7"/>
  <c r="F18" i="7"/>
  <c r="H18" i="7"/>
  <c r="L19" i="7"/>
  <c r="O19" i="7"/>
  <c r="L79" i="1" s="1"/>
  <c r="L139" i="1" s="1"/>
  <c r="L201" i="1" s="1"/>
  <c r="D69" i="7"/>
  <c r="D68" i="7" s="1"/>
  <c r="N69" i="7"/>
  <c r="N68" i="7" s="1"/>
  <c r="I74" i="7"/>
  <c r="K74" i="7"/>
  <c r="P74" i="7"/>
  <c r="E80" i="7"/>
  <c r="Q80" i="7"/>
  <c r="K14" i="8"/>
  <c r="N14" i="8"/>
  <c r="L13" i="8"/>
  <c r="L12" i="8" s="1"/>
  <c r="Q13" i="8"/>
  <c r="P24" i="8"/>
  <c r="P23" i="8" s="1"/>
  <c r="R24" i="8"/>
  <c r="R23" i="8" s="1"/>
  <c r="K33" i="8"/>
  <c r="H44" i="1" s="1"/>
  <c r="H144" i="1" s="1"/>
  <c r="H206" i="1" s="1"/>
  <c r="E36" i="8"/>
  <c r="E35" i="8" s="1"/>
  <c r="E16" i="8"/>
  <c r="B20" i="1" s="1"/>
  <c r="B124" i="1" s="1"/>
  <c r="B190" i="1" s="1"/>
  <c r="K40" i="8"/>
  <c r="K35" i="8" s="1"/>
  <c r="K20" i="8"/>
  <c r="K18" i="8" s="1"/>
  <c r="N40" i="8"/>
  <c r="N35" i="8" s="1"/>
  <c r="J25" i="8"/>
  <c r="G33" i="1" s="1"/>
  <c r="E54" i="8"/>
  <c r="E11" i="8" s="1"/>
  <c r="I54" i="8"/>
  <c r="K54" i="8"/>
  <c r="N54" i="8"/>
  <c r="J72" i="8"/>
  <c r="J69" i="8" s="1"/>
  <c r="O72" i="8"/>
  <c r="O69" i="8" s="1"/>
  <c r="M17" i="10" s="1"/>
  <c r="E18" i="10"/>
  <c r="I18" i="10"/>
  <c r="L83" i="8"/>
  <c r="L82" i="8" s="1"/>
  <c r="P83" i="8"/>
  <c r="P82" i="8" s="1"/>
  <c r="P17" i="8"/>
  <c r="F13" i="10"/>
  <c r="K93" i="8"/>
  <c r="I13" i="10" s="1"/>
  <c r="F14" i="10"/>
  <c r="J14" i="10"/>
  <c r="E13" i="10"/>
  <c r="I16" i="8"/>
  <c r="F20" i="1" s="1"/>
  <c r="F124" i="1" s="1"/>
  <c r="F190" i="1" s="1"/>
  <c r="G11" i="8"/>
  <c r="N15" i="9"/>
  <c r="N14" i="9" s="1"/>
  <c r="P14" i="9"/>
  <c r="P11" i="9" s="1"/>
  <c r="R14" i="9"/>
  <c r="R11" i="9" s="1"/>
  <c r="N34" i="10"/>
  <c r="P9" i="9"/>
  <c r="L43" i="9"/>
  <c r="L40" i="9" s="1"/>
  <c r="L15" i="9"/>
  <c r="L14" i="9" s="1"/>
  <c r="O120" i="9"/>
  <c r="E37" i="10"/>
  <c r="G37" i="10"/>
  <c r="I37" i="10"/>
  <c r="C17" i="10"/>
  <c r="G17" i="10"/>
  <c r="N18" i="10"/>
  <c r="N77" i="8"/>
  <c r="N74" i="8"/>
  <c r="L18" i="10" s="1"/>
  <c r="D85" i="8"/>
  <c r="K85" i="8"/>
  <c r="K82" i="8" s="1"/>
  <c r="I17" i="10" s="1"/>
  <c r="N85" i="8"/>
  <c r="N82" i="8" s="1"/>
  <c r="N93" i="8"/>
  <c r="K99" i="8"/>
  <c r="E14" i="10"/>
  <c r="E117" i="8"/>
  <c r="E113" i="8" s="1"/>
  <c r="C14" i="10" s="1"/>
  <c r="N121" i="8"/>
  <c r="L13" i="10" s="1"/>
  <c r="D122" i="8"/>
  <c r="D121" i="8" s="1"/>
  <c r="L122" i="8"/>
  <c r="L121" i="8" s="1"/>
  <c r="J13" i="10" s="1"/>
  <c r="D173" i="8"/>
  <c r="N211" i="8"/>
  <c r="N210" i="8" s="1"/>
  <c r="N183" i="8" s="1"/>
  <c r="L214" i="8"/>
  <c r="L213" i="8" s="1"/>
  <c r="I78" i="1"/>
  <c r="D218" i="8"/>
  <c r="D217" i="8" s="1"/>
  <c r="D183" i="8" s="1"/>
  <c r="D181" i="8" s="1"/>
  <c r="N25" i="9"/>
  <c r="N22" i="9" s="1"/>
  <c r="C35" i="10"/>
  <c r="G35" i="10"/>
  <c r="L35" i="10"/>
  <c r="J19" i="9"/>
  <c r="L19" i="9"/>
  <c r="O17" i="9"/>
  <c r="L97" i="1" s="1"/>
  <c r="D32" i="9"/>
  <c r="L32" i="9"/>
  <c r="L31" i="9" s="1"/>
  <c r="L10" i="9" s="1"/>
  <c r="N34" i="9"/>
  <c r="N31" i="9" s="1"/>
  <c r="N10" i="9" s="1"/>
  <c r="M34" i="10"/>
  <c r="Q9" i="9"/>
  <c r="K41" i="9"/>
  <c r="K40" i="9" s="1"/>
  <c r="N41" i="9"/>
  <c r="N40" i="9" s="1"/>
  <c r="Q120" i="9"/>
  <c r="O34" i="10"/>
  <c r="H37" i="12"/>
  <c r="N20" i="10" l="1"/>
  <c r="M97" i="1"/>
  <c r="N19" i="10"/>
  <c r="D43" i="2"/>
  <c r="V18" i="1"/>
  <c r="X69" i="1"/>
  <c r="X68" i="1"/>
  <c r="X20" i="1"/>
  <c r="X71" i="1"/>
  <c r="J135" i="1"/>
  <c r="J197" i="1" s="1"/>
  <c r="U34" i="1"/>
  <c r="U135" i="1" s="1"/>
  <c r="U197" i="1" s="1"/>
  <c r="N63" i="1"/>
  <c r="N62" i="1" s="1"/>
  <c r="N84" i="1" s="1"/>
  <c r="U65" i="1"/>
  <c r="X65" i="1"/>
  <c r="Z333" i="2"/>
  <c r="D126" i="2"/>
  <c r="M38" i="2"/>
  <c r="O31" i="10"/>
  <c r="O26" i="10" s="1"/>
  <c r="D314" i="2"/>
  <c r="M313" i="2"/>
  <c r="O32" i="1"/>
  <c r="L11" i="3"/>
  <c r="D322" i="2"/>
  <c r="D320" i="2" s="1"/>
  <c r="J24" i="2"/>
  <c r="E133" i="2"/>
  <c r="L124" i="2"/>
  <c r="O403" i="2"/>
  <c r="R13" i="2"/>
  <c r="O33" i="2"/>
  <c r="O30" i="2" s="1"/>
  <c r="E288" i="2"/>
  <c r="I25" i="12"/>
  <c r="H25" i="12" s="1"/>
  <c r="E403" i="2"/>
  <c r="M394" i="2"/>
  <c r="M393" i="2" s="1"/>
  <c r="M158" i="2"/>
  <c r="I24" i="2"/>
  <c r="F24" i="2"/>
  <c r="I326" i="2"/>
  <c r="G28" i="10" s="1"/>
  <c r="B125" i="1"/>
  <c r="B186" i="1" s="1"/>
  <c r="M380" i="2"/>
  <c r="M27" i="2" s="1"/>
  <c r="J37" i="1" s="1"/>
  <c r="U37" i="1" s="1"/>
  <c r="O36" i="2"/>
  <c r="M7" i="10" s="1"/>
  <c r="J431" i="2"/>
  <c r="J430" i="2" s="1"/>
  <c r="M285" i="2"/>
  <c r="M282" i="2" s="1"/>
  <c r="K82" i="2"/>
  <c r="K11" i="2" s="1"/>
  <c r="K9" i="2" s="1"/>
  <c r="E68" i="2"/>
  <c r="L393" i="2"/>
  <c r="H369" i="2"/>
  <c r="F11" i="10" s="1"/>
  <c r="M102" i="2"/>
  <c r="Z385" i="2"/>
  <c r="P412" i="2"/>
  <c r="N38" i="10" s="1"/>
  <c r="W38" i="10" s="1"/>
  <c r="K37" i="2"/>
  <c r="P36" i="2"/>
  <c r="N7" i="10" s="1"/>
  <c r="W7" i="10" s="1"/>
  <c r="X374" i="2"/>
  <c r="Z68" i="2"/>
  <c r="Z82" i="2"/>
  <c r="R24" i="2"/>
  <c r="D406" i="2"/>
  <c r="M169" i="2"/>
  <c r="P24" i="2"/>
  <c r="E248" i="2"/>
  <c r="N33" i="2"/>
  <c r="K50" i="1" s="1"/>
  <c r="E326" i="2"/>
  <c r="C28" i="10" s="1"/>
  <c r="F13" i="2"/>
  <c r="G13" i="2"/>
  <c r="G37" i="2"/>
  <c r="O126" i="1"/>
  <c r="O187" i="1" s="1"/>
  <c r="D290" i="2"/>
  <c r="D289" i="2" s="1"/>
  <c r="M289" i="2"/>
  <c r="E162" i="2"/>
  <c r="M330" i="2"/>
  <c r="K24" i="2"/>
  <c r="J369" i="2"/>
  <c r="H11" i="10" s="1"/>
  <c r="G24" i="2"/>
  <c r="M64" i="2"/>
  <c r="M61" i="2" s="1"/>
  <c r="O24" i="2"/>
  <c r="H24" i="2"/>
  <c r="D422" i="2"/>
  <c r="D421" i="2" s="1"/>
  <c r="N377" i="2"/>
  <c r="L12" i="10" s="1"/>
  <c r="P30" i="2"/>
  <c r="M406" i="2"/>
  <c r="N75" i="1"/>
  <c r="N74" i="1" s="1"/>
  <c r="N85" i="1" s="1"/>
  <c r="G136" i="1"/>
  <c r="N99" i="1"/>
  <c r="C75" i="1"/>
  <c r="U68" i="1"/>
  <c r="D63" i="1"/>
  <c r="D62" i="1" s="1"/>
  <c r="D84" i="1" s="1"/>
  <c r="N30" i="1"/>
  <c r="N131" i="1" s="1"/>
  <c r="N193" i="1" s="1"/>
  <c r="O30" i="1"/>
  <c r="M30" i="1"/>
  <c r="M131" i="1" s="1"/>
  <c r="M193" i="1" s="1"/>
  <c r="O434" i="2"/>
  <c r="O433" i="2" s="1"/>
  <c r="M74" i="6"/>
  <c r="N20" i="6"/>
  <c r="D82" i="6"/>
  <c r="L45" i="1"/>
  <c r="L20" i="10"/>
  <c r="E32" i="1"/>
  <c r="D107" i="6"/>
  <c r="F33" i="1"/>
  <c r="F136" i="1" s="1"/>
  <c r="F12" i="6"/>
  <c r="I12" i="6"/>
  <c r="I19" i="10"/>
  <c r="M100" i="6"/>
  <c r="M260" i="6"/>
  <c r="M259" i="6" s="1"/>
  <c r="M245" i="6" s="1"/>
  <c r="M244" i="6" s="1"/>
  <c r="E136" i="1"/>
  <c r="E198" i="1" s="1"/>
  <c r="E209" i="1" s="1"/>
  <c r="L91" i="1"/>
  <c r="M138" i="1"/>
  <c r="M200" i="1" s="1"/>
  <c r="M32" i="1"/>
  <c r="D138" i="1"/>
  <c r="D200" i="1" s="1"/>
  <c r="D32" i="1"/>
  <c r="D382" i="2"/>
  <c r="N126" i="1"/>
  <c r="N187" i="1" s="1"/>
  <c r="I50" i="2"/>
  <c r="E26" i="2"/>
  <c r="B36" i="1" s="1"/>
  <c r="B32" i="1" s="1"/>
  <c r="E45" i="2"/>
  <c r="I37" i="2"/>
  <c r="I36" i="2" s="1"/>
  <c r="G7" i="10" s="1"/>
  <c r="X37" i="2"/>
  <c r="N45" i="2"/>
  <c r="N27" i="2"/>
  <c r="K37" i="1" s="1"/>
  <c r="K138" i="1" s="1"/>
  <c r="K200" i="1" s="1"/>
  <c r="L27" i="2"/>
  <c r="I37" i="1" s="1"/>
  <c r="I138" i="1" s="1"/>
  <c r="I200" i="1" s="1"/>
  <c r="L26" i="2"/>
  <c r="I36" i="1" s="1"/>
  <c r="I137" i="1" s="1"/>
  <c r="I199" i="1" s="1"/>
  <c r="L45" i="2"/>
  <c r="L44" i="2" s="1"/>
  <c r="J8" i="10" s="1"/>
  <c r="H37" i="2"/>
  <c r="E139" i="2"/>
  <c r="H26" i="10"/>
  <c r="E58" i="2"/>
  <c r="M60" i="2"/>
  <c r="D60" i="2" s="1"/>
  <c r="D58" i="2" s="1"/>
  <c r="D428" i="2"/>
  <c r="Z428" i="2" s="1"/>
  <c r="M419" i="2"/>
  <c r="M418" i="2" s="1"/>
  <c r="M417" i="2" s="1"/>
  <c r="K39" i="10" s="1"/>
  <c r="V39" i="10" s="1"/>
  <c r="M427" i="2"/>
  <c r="M426" i="2" s="1"/>
  <c r="D405" i="2"/>
  <c r="M371" i="2"/>
  <c r="M46" i="2"/>
  <c r="M253" i="2"/>
  <c r="M248" i="2" s="1"/>
  <c r="D255" i="2"/>
  <c r="D253" i="2" s="1"/>
  <c r="D248" i="2" s="1"/>
  <c r="D237" i="2"/>
  <c r="D235" i="2" s="1"/>
  <c r="D231" i="2" s="1"/>
  <c r="M235" i="2"/>
  <c r="M231" i="2" s="1"/>
  <c r="D230" i="2"/>
  <c r="D229" i="2" s="1"/>
  <c r="M229" i="2"/>
  <c r="M224" i="2" s="1"/>
  <c r="L50" i="1"/>
  <c r="C74" i="1"/>
  <c r="C85" i="1" s="1"/>
  <c r="N50" i="1"/>
  <c r="N51" i="1" s="1"/>
  <c r="O50" i="1"/>
  <c r="M50" i="1"/>
  <c r="M51" i="1" s="1"/>
  <c r="O59" i="1"/>
  <c r="D337" i="2"/>
  <c r="D328" i="2" s="1"/>
  <c r="M328" i="2"/>
  <c r="D281" i="2"/>
  <c r="D280" i="2" s="1"/>
  <c r="D276" i="2" s="1"/>
  <c r="M280" i="2"/>
  <c r="M276" i="2" s="1"/>
  <c r="M47" i="2"/>
  <c r="M28" i="2" s="1"/>
  <c r="J38" i="1" s="1"/>
  <c r="N59" i="1"/>
  <c r="N58" i="1" s="1"/>
  <c r="E32" i="2"/>
  <c r="B44" i="1" s="1"/>
  <c r="B144" i="1" s="1"/>
  <c r="B206" i="1" s="1"/>
  <c r="E332" i="2"/>
  <c r="E331" i="2" s="1"/>
  <c r="C29" i="10" s="1"/>
  <c r="C26" i="10" s="1"/>
  <c r="I24" i="12"/>
  <c r="H24" i="12" s="1"/>
  <c r="I12" i="12"/>
  <c r="H12" i="12" s="1"/>
  <c r="M14" i="3"/>
  <c r="M10" i="10"/>
  <c r="X9" i="3"/>
  <c r="N10" i="10"/>
  <c r="E16" i="3"/>
  <c r="E15" i="3" s="1"/>
  <c r="E11" i="3" s="1"/>
  <c r="M119" i="3"/>
  <c r="M16" i="3" s="1"/>
  <c r="M15" i="3" s="1"/>
  <c r="O10" i="10"/>
  <c r="N9" i="9"/>
  <c r="M19" i="9"/>
  <c r="D47" i="9"/>
  <c r="D19" i="9" s="1"/>
  <c r="M13" i="9"/>
  <c r="D42" i="9"/>
  <c r="D79" i="9"/>
  <c r="D67" i="9"/>
  <c r="D66" i="9" s="1"/>
  <c r="D65" i="9" s="1"/>
  <c r="M66" i="9"/>
  <c r="M65" i="9" s="1"/>
  <c r="G60" i="1"/>
  <c r="C60" i="1"/>
  <c r="C58" i="1" s="1"/>
  <c r="C86" i="1" s="1"/>
  <c r="E60" i="1"/>
  <c r="M68" i="7"/>
  <c r="M91" i="6"/>
  <c r="M90" i="6" s="1"/>
  <c r="D257" i="6"/>
  <c r="D249" i="6" s="1"/>
  <c r="D248" i="6" s="1"/>
  <c r="D247" i="6" s="1"/>
  <c r="M249" i="6"/>
  <c r="K64" i="1"/>
  <c r="K63" i="1" s="1"/>
  <c r="K62" i="1" s="1"/>
  <c r="K84" i="1" s="1"/>
  <c r="M64" i="1"/>
  <c r="N11" i="5"/>
  <c r="O36" i="10"/>
  <c r="Q11" i="5"/>
  <c r="J11" i="5"/>
  <c r="F11" i="5"/>
  <c r="N36" i="10"/>
  <c r="P11" i="5"/>
  <c r="H11" i="5"/>
  <c r="D42" i="5"/>
  <c r="M20" i="5"/>
  <c r="M19" i="5" s="1"/>
  <c r="M18" i="5" s="1"/>
  <c r="M17" i="4"/>
  <c r="M21" i="4"/>
  <c r="V59" i="1"/>
  <c r="L27" i="1"/>
  <c r="L25" i="1" s="1"/>
  <c r="E45" i="1"/>
  <c r="E146" i="1" s="1"/>
  <c r="E208" i="1" s="1"/>
  <c r="L125" i="1"/>
  <c r="L186" i="1" s="1"/>
  <c r="O91" i="1"/>
  <c r="E123" i="3"/>
  <c r="E120" i="3" s="1"/>
  <c r="E21" i="3"/>
  <c r="E20" i="3" s="1"/>
  <c r="E17" i="3" s="1"/>
  <c r="D130" i="3"/>
  <c r="P69" i="5"/>
  <c r="I79" i="1"/>
  <c r="I139" i="1" s="1"/>
  <c r="I201" i="1" s="1"/>
  <c r="N146" i="1"/>
  <c r="N208" i="1" s="1"/>
  <c r="M146" i="1"/>
  <c r="M208" i="1" s="1"/>
  <c r="O146" i="1"/>
  <c r="O208" i="1" s="1"/>
  <c r="O51" i="1"/>
  <c r="U69" i="1"/>
  <c r="W76" i="1" s="1"/>
  <c r="X20" i="2"/>
  <c r="D105" i="5"/>
  <c r="D68" i="5"/>
  <c r="D66" i="5" s="1"/>
  <c r="L36" i="10"/>
  <c r="M36" i="10"/>
  <c r="L77" i="5"/>
  <c r="L76" i="5" s="1"/>
  <c r="P36" i="10"/>
  <c r="W36" i="10" s="1"/>
  <c r="M75" i="1"/>
  <c r="M74" i="1" s="1"/>
  <c r="M85" i="1" s="1"/>
  <c r="E75" i="1"/>
  <c r="E74" i="1" s="1"/>
  <c r="E85" i="1" s="1"/>
  <c r="D75" i="1"/>
  <c r="D74" i="1" s="1"/>
  <c r="D85" i="1" s="1"/>
  <c r="L127" i="1"/>
  <c r="L188" i="1" s="1"/>
  <c r="L67" i="1"/>
  <c r="N32" i="1"/>
  <c r="M124" i="3"/>
  <c r="D76" i="3"/>
  <c r="D75" i="3" s="1"/>
  <c r="M75" i="3"/>
  <c r="N9" i="10"/>
  <c r="M116" i="3"/>
  <c r="D116" i="3" s="1"/>
  <c r="L124" i="1"/>
  <c r="L190" i="1" s="1"/>
  <c r="G45" i="1"/>
  <c r="G146" i="1" s="1"/>
  <c r="G208" i="1" s="1"/>
  <c r="G198" i="1"/>
  <c r="E102" i="1"/>
  <c r="E100" i="1" s="1"/>
  <c r="M18" i="7"/>
  <c r="J79" i="1"/>
  <c r="H75" i="1"/>
  <c r="L73" i="1"/>
  <c r="L75" i="1"/>
  <c r="G75" i="1"/>
  <c r="G74" i="1" s="1"/>
  <c r="G85" i="1" s="1"/>
  <c r="G99" i="1" s="1"/>
  <c r="H60" i="1"/>
  <c r="C102" i="1"/>
  <c r="C100" i="1" s="1"/>
  <c r="F75" i="1"/>
  <c r="F74" i="1" s="1"/>
  <c r="F85" i="1" s="1"/>
  <c r="H82" i="1"/>
  <c r="H81" i="1" s="1"/>
  <c r="I75" i="1"/>
  <c r="I74" i="1" s="1"/>
  <c r="I85" i="1" s="1"/>
  <c r="D86" i="6"/>
  <c r="D85" i="6" s="1"/>
  <c r="D84" i="6" s="1"/>
  <c r="M85" i="6"/>
  <c r="M84" i="6" s="1"/>
  <c r="M30" i="10"/>
  <c r="X30" i="10"/>
  <c r="I64" i="1"/>
  <c r="I63" i="1" s="1"/>
  <c r="I62" i="1" s="1"/>
  <c r="I84" i="1" s="1"/>
  <c r="E58" i="1"/>
  <c r="E86" i="1" s="1"/>
  <c r="U71" i="1"/>
  <c r="M124" i="1"/>
  <c r="M190" i="1" s="1"/>
  <c r="H19" i="1"/>
  <c r="H123" i="1" s="1"/>
  <c r="H185" i="1" s="1"/>
  <c r="X19" i="10"/>
  <c r="E97" i="1"/>
  <c r="E91" i="1" s="1"/>
  <c r="C97" i="1"/>
  <c r="C91" i="1" s="1"/>
  <c r="W19" i="10"/>
  <c r="H33" i="1"/>
  <c r="F64" i="1"/>
  <c r="F63" i="1" s="1"/>
  <c r="F62" i="1" s="1"/>
  <c r="F84" i="1" s="1"/>
  <c r="AA16" i="4"/>
  <c r="B66" i="1"/>
  <c r="B63" i="1" s="1"/>
  <c r="M20" i="4"/>
  <c r="B73" i="1"/>
  <c r="B72" i="1" s="1"/>
  <c r="L81" i="1"/>
  <c r="N20" i="4"/>
  <c r="N13" i="4" s="1"/>
  <c r="M102" i="1"/>
  <c r="M100" i="1" s="1"/>
  <c r="F102" i="1"/>
  <c r="F100" i="1" s="1"/>
  <c r="K75" i="1"/>
  <c r="K74" i="1" s="1"/>
  <c r="K85" i="1" s="1"/>
  <c r="AA17" i="4"/>
  <c r="H67" i="1"/>
  <c r="H122" i="1" s="1"/>
  <c r="H184" i="1" s="1"/>
  <c r="B184" i="1"/>
  <c r="A132" i="1"/>
  <c r="P122" i="1"/>
  <c r="P63" i="1"/>
  <c r="P62" i="1" s="1"/>
  <c r="P84" i="1" s="1"/>
  <c r="H102" i="1"/>
  <c r="H100" i="1" s="1"/>
  <c r="D102" i="1"/>
  <c r="D100" i="1" s="1"/>
  <c r="C18" i="1"/>
  <c r="C121" i="1" s="1"/>
  <c r="M9" i="10"/>
  <c r="Z78" i="3"/>
  <c r="O9" i="10"/>
  <c r="K45" i="1"/>
  <c r="F30" i="1"/>
  <c r="F131" i="1" s="1"/>
  <c r="F193" i="1" s="1"/>
  <c r="E18" i="1"/>
  <c r="E121" i="1" s="1"/>
  <c r="K33" i="1"/>
  <c r="K136" i="1" s="1"/>
  <c r="K198" i="1" s="1"/>
  <c r="L19" i="1"/>
  <c r="I33" i="1"/>
  <c r="I136" i="1" s="1"/>
  <c r="I198" i="1" s="1"/>
  <c r="N144" i="1"/>
  <c r="N206" i="1" s="1"/>
  <c r="N40" i="1"/>
  <c r="O121" i="1"/>
  <c r="O17" i="1"/>
  <c r="G127" i="1"/>
  <c r="G188" i="1" s="1"/>
  <c r="M144" i="1"/>
  <c r="M206" i="1" s="1"/>
  <c r="M40" i="1"/>
  <c r="I430" i="2"/>
  <c r="F60" i="1"/>
  <c r="F58" i="1" s="1"/>
  <c r="E440" i="2"/>
  <c r="E439" i="2" s="1"/>
  <c r="B102" i="1" s="1"/>
  <c r="B100" i="1" s="1"/>
  <c r="B77" i="1"/>
  <c r="B75" i="1" s="1"/>
  <c r="B74" i="1" s="1"/>
  <c r="B85" i="1" s="1"/>
  <c r="U41" i="1"/>
  <c r="B142" i="1"/>
  <c r="B204" i="1" s="1"/>
  <c r="K30" i="2"/>
  <c r="H45" i="1"/>
  <c r="H146" i="1" s="1"/>
  <c r="H208" i="1" s="1"/>
  <c r="F19" i="2"/>
  <c r="C30" i="1"/>
  <c r="J434" i="2"/>
  <c r="J433" i="2" s="1"/>
  <c r="G64" i="1"/>
  <c r="G63" i="1" s="1"/>
  <c r="G62" i="1" s="1"/>
  <c r="G84" i="1" s="1"/>
  <c r="M126" i="1"/>
  <c r="M187" i="1" s="1"/>
  <c r="M27" i="1"/>
  <c r="O25" i="1"/>
  <c r="M28" i="1"/>
  <c r="M127" i="1" s="1"/>
  <c r="M188" i="1" s="1"/>
  <c r="K137" i="1"/>
  <c r="K199" i="1" s="1"/>
  <c r="X7" i="10"/>
  <c r="I30" i="2"/>
  <c r="F45" i="1"/>
  <c r="F146" i="1" s="1"/>
  <c r="F208" i="1" s="1"/>
  <c r="K434" i="2"/>
  <c r="K433" i="2" s="1"/>
  <c r="H64" i="1"/>
  <c r="G430" i="2"/>
  <c r="D60" i="1"/>
  <c r="D58" i="1" s="1"/>
  <c r="D86" i="1" s="1"/>
  <c r="H58" i="1"/>
  <c r="L126" i="1"/>
  <c r="L187" i="1" s="1"/>
  <c r="D18" i="1"/>
  <c r="D121" i="1" s="1"/>
  <c r="O40" i="1"/>
  <c r="D40" i="1"/>
  <c r="G141" i="1"/>
  <c r="G203" i="1" s="1"/>
  <c r="R10" i="8"/>
  <c r="P13" i="10"/>
  <c r="U20" i="1"/>
  <c r="J124" i="1"/>
  <c r="J190" i="1" s="1"/>
  <c r="C140" i="1"/>
  <c r="C202" i="1" s="1"/>
  <c r="C32" i="1"/>
  <c r="L32" i="1"/>
  <c r="O206" i="1"/>
  <c r="O89" i="1"/>
  <c r="O115" i="1"/>
  <c r="O111" i="1"/>
  <c r="I140" i="1"/>
  <c r="I202" i="1" s="1"/>
  <c r="G140" i="1"/>
  <c r="G202" i="1" s="1"/>
  <c r="G32" i="1"/>
  <c r="N111" i="1"/>
  <c r="N89" i="1"/>
  <c r="N115" i="1"/>
  <c r="P10" i="8"/>
  <c r="N13" i="10"/>
  <c r="Q10" i="8"/>
  <c r="Q9" i="8" s="1"/>
  <c r="O13" i="10"/>
  <c r="U29" i="1"/>
  <c r="U129" i="1" s="1"/>
  <c r="U191" i="1" s="1"/>
  <c r="J129" i="1"/>
  <c r="J191" i="1" s="1"/>
  <c r="M13" i="10"/>
  <c r="E141" i="1"/>
  <c r="E203" i="1" s="1"/>
  <c r="C141" i="1"/>
  <c r="C203" i="1" s="1"/>
  <c r="C40" i="1"/>
  <c r="L198" i="1"/>
  <c r="A147" i="1"/>
  <c r="P41" i="10"/>
  <c r="R11" i="5"/>
  <c r="M14" i="5"/>
  <c r="M17" i="1"/>
  <c r="N121" i="1"/>
  <c r="N17" i="1"/>
  <c r="I127" i="1"/>
  <c r="I188" i="1" s="1"/>
  <c r="AA19" i="4"/>
  <c r="D109" i="4"/>
  <c r="D108" i="4" s="1"/>
  <c r="D103" i="4" s="1"/>
  <c r="M108" i="4"/>
  <c r="M103" i="4" s="1"/>
  <c r="D98" i="4"/>
  <c r="D97" i="4" s="1"/>
  <c r="D93" i="4" s="1"/>
  <c r="M97" i="4"/>
  <c r="M93" i="4" s="1"/>
  <c r="D46" i="4"/>
  <c r="M45" i="4"/>
  <c r="M66" i="4"/>
  <c r="M12" i="13"/>
  <c r="K9" i="9"/>
  <c r="K8" i="9" s="1"/>
  <c r="D31" i="9"/>
  <c r="D10" i="9" s="1"/>
  <c r="X11" i="9"/>
  <c r="E9" i="9"/>
  <c r="E8" i="9" s="1"/>
  <c r="J11" i="9"/>
  <c r="P8" i="9"/>
  <c r="X9" i="9"/>
  <c r="X8" i="9" s="1"/>
  <c r="M33" i="7"/>
  <c r="M36" i="7"/>
  <c r="M16" i="7"/>
  <c r="D89" i="7"/>
  <c r="M89" i="7"/>
  <c r="D84" i="7"/>
  <c r="M84" i="7"/>
  <c r="D48" i="7"/>
  <c r="M48" i="7"/>
  <c r="M44" i="7" s="1"/>
  <c r="D39" i="7"/>
  <c r="D38" i="7" s="1"/>
  <c r="M39" i="7"/>
  <c r="M38" i="7" s="1"/>
  <c r="J66" i="1"/>
  <c r="M24" i="7"/>
  <c r="M23" i="7" s="1"/>
  <c r="M10" i="7"/>
  <c r="M8" i="7" s="1"/>
  <c r="M14" i="7"/>
  <c r="J67" i="1" s="1"/>
  <c r="J122" i="1" s="1"/>
  <c r="J184" i="1" s="1"/>
  <c r="M87" i="7"/>
  <c r="D80" i="7"/>
  <c r="M81" i="7"/>
  <c r="M80" i="7" s="1"/>
  <c r="D53" i="7"/>
  <c r="D50" i="7" s="1"/>
  <c r="M53" i="7"/>
  <c r="M50" i="7" s="1"/>
  <c r="M21" i="7"/>
  <c r="J12" i="6"/>
  <c r="H20" i="10"/>
  <c r="F244" i="6"/>
  <c r="G20" i="10"/>
  <c r="M99" i="6"/>
  <c r="K31" i="10" s="1"/>
  <c r="D18" i="4"/>
  <c r="D206" i="3"/>
  <c r="D205" i="3" s="1"/>
  <c r="M205" i="3"/>
  <c r="M204" i="3" s="1"/>
  <c r="D194" i="3"/>
  <c r="D193" i="3" s="1"/>
  <c r="M193" i="3"/>
  <c r="E192" i="3"/>
  <c r="D118" i="8"/>
  <c r="M32" i="8"/>
  <c r="J43" i="1" s="1"/>
  <c r="D59" i="8"/>
  <c r="D58" i="8" s="1"/>
  <c r="M58" i="8"/>
  <c r="D47" i="8"/>
  <c r="M26" i="8"/>
  <c r="J35" i="1" s="1"/>
  <c r="U35" i="1" s="1"/>
  <c r="M61" i="8"/>
  <c r="M54" i="8"/>
  <c r="M20" i="8"/>
  <c r="D46" i="8"/>
  <c r="M25" i="8"/>
  <c r="M121" i="8"/>
  <c r="D22" i="8"/>
  <c r="E11" i="10"/>
  <c r="I369" i="2"/>
  <c r="O19" i="2"/>
  <c r="Z186" i="3"/>
  <c r="H13" i="6"/>
  <c r="J245" i="6"/>
  <c r="I14" i="6"/>
  <c r="I13" i="6" s="1"/>
  <c r="M106" i="6"/>
  <c r="M105" i="6" s="1"/>
  <c r="M12" i="6" s="1"/>
  <c r="Q10" i="6"/>
  <c r="K20" i="6"/>
  <c r="M248" i="6"/>
  <c r="M247" i="6" s="1"/>
  <c r="H244" i="6"/>
  <c r="J20" i="10"/>
  <c r="I20" i="10"/>
  <c r="K99" i="6"/>
  <c r="H97" i="1" s="1"/>
  <c r="H91" i="1" s="1"/>
  <c r="G244" i="6"/>
  <c r="X244" i="6"/>
  <c r="E20" i="10"/>
  <c r="C19" i="10"/>
  <c r="O30" i="10"/>
  <c r="O25" i="10" s="1"/>
  <c r="V124" i="1"/>
  <c r="X248" i="6"/>
  <c r="X247" i="6" s="1"/>
  <c r="K37" i="10"/>
  <c r="E40" i="4"/>
  <c r="AB42" i="4" s="1"/>
  <c r="X370" i="2"/>
  <c r="X369" i="2" s="1"/>
  <c r="X412" i="2"/>
  <c r="X14" i="2"/>
  <c r="X13" i="2" s="1"/>
  <c r="X21" i="2"/>
  <c r="X42" i="2"/>
  <c r="X15" i="2"/>
  <c r="V23" i="1"/>
  <c r="X18" i="2"/>
  <c r="X16" i="2"/>
  <c r="E198" i="3"/>
  <c r="L114" i="3"/>
  <c r="L9" i="3" s="1"/>
  <c r="L8" i="3" s="1"/>
  <c r="M192" i="8"/>
  <c r="M191" i="8" s="1"/>
  <c r="M185" i="8"/>
  <c r="M184" i="8" s="1"/>
  <c r="I9" i="3"/>
  <c r="I8" i="3" s="1"/>
  <c r="H10" i="10"/>
  <c r="J326" i="2"/>
  <c r="H28" i="10" s="1"/>
  <c r="H11" i="2"/>
  <c r="E14" i="1" s="1"/>
  <c r="P432" i="2"/>
  <c r="M60" i="1" s="1"/>
  <c r="M58" i="1" s="1"/>
  <c r="I20" i="2"/>
  <c r="F28" i="1" s="1"/>
  <c r="F127" i="1" s="1"/>
  <c r="F188" i="1" s="1"/>
  <c r="D516" i="2"/>
  <c r="D515" i="2" s="1"/>
  <c r="M516" i="2"/>
  <c r="M515" i="2" s="1"/>
  <c r="J377" i="2"/>
  <c r="H12" i="10" s="1"/>
  <c r="J11" i="2"/>
  <c r="F11" i="2"/>
  <c r="F9" i="2" s="1"/>
  <c r="P11" i="2"/>
  <c r="X11" i="2" s="1"/>
  <c r="O19" i="6"/>
  <c r="O13" i="6" s="1"/>
  <c r="AA16" i="7"/>
  <c r="E377" i="2"/>
  <c r="C12" i="10" s="1"/>
  <c r="R30" i="2"/>
  <c r="F11" i="9"/>
  <c r="Z207" i="2"/>
  <c r="O11" i="2"/>
  <c r="E20" i="2"/>
  <c r="B28" i="1" s="1"/>
  <c r="O412" i="2"/>
  <c r="Z412" i="2" s="1"/>
  <c r="P369" i="2"/>
  <c r="N11" i="10" s="1"/>
  <c r="M201" i="2"/>
  <c r="D102" i="2"/>
  <c r="G30" i="2"/>
  <c r="E282" i="2"/>
  <c r="E256" i="2"/>
  <c r="F30" i="2"/>
  <c r="F23" i="2" s="1"/>
  <c r="C98" i="1" s="1"/>
  <c r="O14" i="2"/>
  <c r="Q23" i="8"/>
  <c r="R19" i="2"/>
  <c r="R12" i="2" s="1"/>
  <c r="R377" i="2"/>
  <c r="P12" i="10" s="1"/>
  <c r="Z454" i="2"/>
  <c r="E55" i="2"/>
  <c r="Z421" i="2"/>
  <c r="E198" i="2"/>
  <c r="R430" i="2"/>
  <c r="Q30" i="2"/>
  <c r="Q23" i="2" s="1"/>
  <c r="N98" i="1" s="1"/>
  <c r="N412" i="2"/>
  <c r="L38" i="10" s="1"/>
  <c r="D413" i="2"/>
  <c r="L33" i="2"/>
  <c r="I45" i="1" s="1"/>
  <c r="I146" i="1" s="1"/>
  <c r="I208" i="1" s="1"/>
  <c r="P13" i="2"/>
  <c r="L378" i="2"/>
  <c r="L369" i="2"/>
  <c r="J11" i="10" s="1"/>
  <c r="D393" i="2"/>
  <c r="Z393" i="2" s="1"/>
  <c r="Q369" i="2"/>
  <c r="O11" i="10" s="1"/>
  <c r="E434" i="2"/>
  <c r="E433" i="2" s="1"/>
  <c r="D386" i="2"/>
  <c r="D385" i="2" s="1"/>
  <c r="E304" i="2"/>
  <c r="N14" i="2"/>
  <c r="N13" i="2" s="1"/>
  <c r="R44" i="2"/>
  <c r="P8" i="10" s="1"/>
  <c r="I44" i="2"/>
  <c r="G8" i="10" s="1"/>
  <c r="L381" i="2"/>
  <c r="Z214" i="2"/>
  <c r="H377" i="2"/>
  <c r="F12" i="10" s="1"/>
  <c r="Q377" i="2"/>
  <c r="O12" i="10" s="1"/>
  <c r="P377" i="2"/>
  <c r="N12" i="10" s="1"/>
  <c r="K369" i="2"/>
  <c r="I11" i="10" s="1"/>
  <c r="D256" i="2"/>
  <c r="P44" i="2"/>
  <c r="N8" i="10" s="1"/>
  <c r="Z54" i="2"/>
  <c r="G11" i="10"/>
  <c r="O326" i="2"/>
  <c r="M28" i="10" s="1"/>
  <c r="N124" i="2"/>
  <c r="R369" i="2"/>
  <c r="O369" i="2"/>
  <c r="F369" i="2"/>
  <c r="D11" i="10" s="1"/>
  <c r="L434" i="2"/>
  <c r="L433" i="2" s="1"/>
  <c r="J30" i="2"/>
  <c r="E50" i="2"/>
  <c r="D61" i="2"/>
  <c r="L432" i="2"/>
  <c r="I60" i="1" s="1"/>
  <c r="Z189" i="2"/>
  <c r="K27" i="12"/>
  <c r="H27" i="12" s="1"/>
  <c r="G26" i="12" s="1"/>
  <c r="F60" i="12"/>
  <c r="F62" i="12"/>
  <c r="F54" i="12"/>
  <c r="F46" i="12"/>
  <c r="F61" i="12"/>
  <c r="F53" i="12"/>
  <c r="F45" i="12"/>
  <c r="F58" i="12"/>
  <c r="F50" i="12"/>
  <c r="F42" i="12"/>
  <c r="F57" i="12"/>
  <c r="F49" i="12"/>
  <c r="F41" i="12"/>
  <c r="F38" i="12"/>
  <c r="F43" i="12"/>
  <c r="F51" i="12"/>
  <c r="F59" i="12"/>
  <c r="F44" i="12"/>
  <c r="F52" i="12"/>
  <c r="D38" i="12"/>
  <c r="D40" i="12" s="1"/>
  <c r="D41" i="12" s="1"/>
  <c r="F47" i="12"/>
  <c r="F55" i="12"/>
  <c r="F40" i="12"/>
  <c r="F48" i="12"/>
  <c r="F56" i="12"/>
  <c r="Q13" i="2"/>
  <c r="H30" i="2"/>
  <c r="J50" i="2"/>
  <c r="J44" i="2" s="1"/>
  <c r="H8" i="10" s="1"/>
  <c r="G25" i="10"/>
  <c r="E24" i="2"/>
  <c r="M435" i="2"/>
  <c r="J64" i="1" s="1"/>
  <c r="E432" i="2"/>
  <c r="N432" i="2"/>
  <c r="K60" i="1" s="1"/>
  <c r="S14" i="4"/>
  <c r="S13" i="4" s="1"/>
  <c r="M23" i="4"/>
  <c r="M14" i="4"/>
  <c r="M13" i="4" s="1"/>
  <c r="M10" i="4"/>
  <c r="E33" i="2"/>
  <c r="L21" i="2"/>
  <c r="L42" i="2"/>
  <c r="L36" i="2" s="1"/>
  <c r="J7" i="10" s="1"/>
  <c r="K21" i="2"/>
  <c r="K42" i="2"/>
  <c r="G21" i="2"/>
  <c r="D30" i="1" s="1"/>
  <c r="G42" i="2"/>
  <c r="J21" i="2"/>
  <c r="G30" i="1" s="1"/>
  <c r="G131" i="1" s="1"/>
  <c r="G193" i="1" s="1"/>
  <c r="J42" i="2"/>
  <c r="J36" i="2" s="1"/>
  <c r="H7" i="10" s="1"/>
  <c r="H21" i="2"/>
  <c r="E30" i="1" s="1"/>
  <c r="H42" i="2"/>
  <c r="H36" i="2" s="1"/>
  <c r="F7" i="10" s="1"/>
  <c r="O123" i="9"/>
  <c r="D84" i="5"/>
  <c r="D78" i="5"/>
  <c r="M78" i="5"/>
  <c r="M77" i="5" s="1"/>
  <c r="M36" i="5"/>
  <c r="M33" i="5" s="1"/>
  <c r="M16" i="5"/>
  <c r="M13" i="5" s="1"/>
  <c r="C37" i="10"/>
  <c r="M104" i="5"/>
  <c r="D104" i="5"/>
  <c r="M80" i="5"/>
  <c r="M98" i="5"/>
  <c r="M97" i="5" s="1"/>
  <c r="M74" i="5"/>
  <c r="M92" i="5"/>
  <c r="M91" i="5" s="1"/>
  <c r="M71" i="5"/>
  <c r="J70" i="1" s="1"/>
  <c r="U70" i="1" s="1"/>
  <c r="L16" i="5"/>
  <c r="L13" i="5" s="1"/>
  <c r="H44" i="2"/>
  <c r="F8" i="10" s="1"/>
  <c r="O44" i="2"/>
  <c r="M8" i="10" s="1"/>
  <c r="Q44" i="2"/>
  <c r="O8" i="10" s="1"/>
  <c r="F44" i="2"/>
  <c r="D8" i="10" s="1"/>
  <c r="N21" i="2"/>
  <c r="Q19" i="2"/>
  <c r="P19" i="2"/>
  <c r="K430" i="2"/>
  <c r="L431" i="2"/>
  <c r="I59" i="1" s="1"/>
  <c r="E43" i="2"/>
  <c r="E42" i="2" s="1"/>
  <c r="Q430" i="2"/>
  <c r="Z403" i="2"/>
  <c r="N374" i="2"/>
  <c r="N50" i="2"/>
  <c r="N44" i="2" s="1"/>
  <c r="L8" i="10" s="1"/>
  <c r="N369" i="2"/>
  <c r="L11" i="10" s="1"/>
  <c r="F377" i="2"/>
  <c r="D12" i="10" s="1"/>
  <c r="K50" i="2"/>
  <c r="K44" i="2" s="1"/>
  <c r="I8" i="10" s="1"/>
  <c r="L28" i="2"/>
  <c r="I38" i="1" s="1"/>
  <c r="I142" i="1" s="1"/>
  <c r="I204" i="1" s="1"/>
  <c r="O381" i="2"/>
  <c r="O377" i="2" s="1"/>
  <c r="M12" i="10" s="1"/>
  <c r="D341" i="2"/>
  <c r="D340" i="2" s="1"/>
  <c r="D332" i="2"/>
  <c r="D331" i="2" s="1"/>
  <c r="L332" i="2"/>
  <c r="L331" i="2" s="1"/>
  <c r="J29" i="10" s="1"/>
  <c r="L32" i="2"/>
  <c r="I44" i="1" s="1"/>
  <c r="J14" i="2"/>
  <c r="J13" i="2" s="1"/>
  <c r="M507" i="2"/>
  <c r="M506" i="2" s="1"/>
  <c r="J101" i="1" s="1"/>
  <c r="U101" i="1" s="1"/>
  <c r="K327" i="2"/>
  <c r="K326" i="2" s="1"/>
  <c r="I28" i="10" s="1"/>
  <c r="K14" i="2"/>
  <c r="K13" i="2" s="1"/>
  <c r="I14" i="2"/>
  <c r="L14" i="2"/>
  <c r="N25" i="10"/>
  <c r="E8" i="10"/>
  <c r="M31" i="9"/>
  <c r="M10" i="9" s="1"/>
  <c r="F8" i="9"/>
  <c r="M62" i="9"/>
  <c r="M61" i="9" s="1"/>
  <c r="D62" i="9"/>
  <c r="D61" i="9" s="1"/>
  <c r="Z61" i="9" s="1"/>
  <c r="M59" i="9"/>
  <c r="M56" i="9" s="1"/>
  <c r="D46" i="9"/>
  <c r="D45" i="9" s="1"/>
  <c r="M46" i="9"/>
  <c r="M45" i="9" s="1"/>
  <c r="M28" i="9"/>
  <c r="M27" i="9" s="1"/>
  <c r="D28" i="9"/>
  <c r="D27" i="9" s="1"/>
  <c r="H8" i="9"/>
  <c r="G8" i="9"/>
  <c r="D25" i="9"/>
  <c r="M15" i="9"/>
  <c r="M25" i="9"/>
  <c r="M23" i="9"/>
  <c r="D23" i="9"/>
  <c r="D22" i="9" s="1"/>
  <c r="M50" i="9"/>
  <c r="M49" i="9" s="1"/>
  <c r="D50" i="9"/>
  <c r="D49" i="9" s="1"/>
  <c r="M43" i="9"/>
  <c r="M40" i="9" s="1"/>
  <c r="D43" i="9"/>
  <c r="J35" i="10"/>
  <c r="D36" i="3"/>
  <c r="D30" i="3"/>
  <c r="F25" i="10"/>
  <c r="M73" i="6"/>
  <c r="M72" i="6" s="1"/>
  <c r="M11" i="6" s="1"/>
  <c r="N18" i="7"/>
  <c r="N17" i="7" s="1"/>
  <c r="N12" i="7"/>
  <c r="N11" i="7" s="1"/>
  <c r="M21" i="13"/>
  <c r="P11" i="8"/>
  <c r="I11" i="8"/>
  <c r="Q12" i="8"/>
  <c r="O12" i="8"/>
  <c r="R12" i="8"/>
  <c r="M117" i="8"/>
  <c r="D31" i="8"/>
  <c r="M102" i="8"/>
  <c r="M100" i="8"/>
  <c r="D94" i="8"/>
  <c r="M94" i="8"/>
  <c r="D49" i="8"/>
  <c r="M74" i="8"/>
  <c r="K18" i="10" s="1"/>
  <c r="V18" i="10" s="1"/>
  <c r="D70" i="8"/>
  <c r="M70" i="8"/>
  <c r="M69" i="8" s="1"/>
  <c r="K17" i="10" s="1"/>
  <c r="M17" i="8"/>
  <c r="M40" i="8"/>
  <c r="D14" i="8"/>
  <c r="M107" i="8"/>
  <c r="M106" i="8" s="1"/>
  <c r="M96" i="8"/>
  <c r="D96" i="8"/>
  <c r="D25" i="8"/>
  <c r="M45" i="8"/>
  <c r="M44" i="8" s="1"/>
  <c r="K16" i="10" s="1"/>
  <c r="V16" i="10" s="1"/>
  <c r="M127" i="8"/>
  <c r="M114" i="8"/>
  <c r="Z109" i="8"/>
  <c r="M19" i="8"/>
  <c r="J26" i="1" s="1"/>
  <c r="M77" i="8"/>
  <c r="M33" i="8"/>
  <c r="D27" i="8"/>
  <c r="D75" i="8"/>
  <c r="D74" i="8" s="1"/>
  <c r="D21" i="8"/>
  <c r="M36" i="8"/>
  <c r="M14" i="8"/>
  <c r="M13" i="8" s="1"/>
  <c r="N26" i="4"/>
  <c r="D12" i="4"/>
  <c r="M41" i="4"/>
  <c r="M40" i="4" s="1"/>
  <c r="M22" i="6"/>
  <c r="K20" i="10"/>
  <c r="D19" i="10"/>
  <c r="M94" i="6"/>
  <c r="K30" i="10" s="1"/>
  <c r="J9" i="3"/>
  <c r="F9" i="3"/>
  <c r="F8" i="3" s="1"/>
  <c r="P9" i="3"/>
  <c r="P8" i="3" s="1"/>
  <c r="K9" i="3"/>
  <c r="K8" i="3" s="1"/>
  <c r="Z102" i="3"/>
  <c r="H9" i="3"/>
  <c r="G9" i="3"/>
  <c r="G8" i="3" s="1"/>
  <c r="D9" i="10"/>
  <c r="J10" i="10"/>
  <c r="D190" i="3"/>
  <c r="D186" i="3" s="1"/>
  <c r="M190" i="3"/>
  <c r="M186" i="3" s="1"/>
  <c r="M123" i="3"/>
  <c r="M118" i="3"/>
  <c r="E9" i="10"/>
  <c r="M103" i="3"/>
  <c r="D105" i="3"/>
  <c r="D103" i="3" s="1"/>
  <c r="M82" i="3"/>
  <c r="D82" i="3"/>
  <c r="D78" i="3" s="1"/>
  <c r="M73" i="3"/>
  <c r="M72" i="3" s="1"/>
  <c r="D73" i="3"/>
  <c r="D72" i="3" s="1"/>
  <c r="D64" i="3"/>
  <c r="D63" i="3" s="1"/>
  <c r="M63" i="3"/>
  <c r="M198" i="3"/>
  <c r="M195" i="3"/>
  <c r="M192" i="3" s="1"/>
  <c r="M121" i="3"/>
  <c r="M120" i="3" s="1"/>
  <c r="D110" i="3"/>
  <c r="D109" i="3" s="1"/>
  <c r="M109" i="3"/>
  <c r="D70" i="3"/>
  <c r="D66" i="3" s="1"/>
  <c r="M70" i="3"/>
  <c r="M55" i="3"/>
  <c r="D56" i="3"/>
  <c r="D55" i="3" s="1"/>
  <c r="M46" i="3"/>
  <c r="D47" i="3"/>
  <c r="D46" i="3" s="1"/>
  <c r="D45" i="3"/>
  <c r="D14" i="3" s="1"/>
  <c r="Q9" i="3"/>
  <c r="I10" i="10"/>
  <c r="F9" i="10"/>
  <c r="M111" i="3"/>
  <c r="D112" i="3"/>
  <c r="D111" i="3" s="1"/>
  <c r="M66" i="3"/>
  <c r="D207" i="3"/>
  <c r="D204" i="3" s="1"/>
  <c r="D288" i="6" s="1"/>
  <c r="M135" i="3"/>
  <c r="M132" i="3" s="1"/>
  <c r="D136" i="3"/>
  <c r="D135" i="3" s="1"/>
  <c r="D132" i="3" s="1"/>
  <c r="M127" i="3"/>
  <c r="M126" i="3" s="1"/>
  <c r="M10" i="3" s="1"/>
  <c r="D128" i="3"/>
  <c r="M106" i="3"/>
  <c r="D107" i="3"/>
  <c r="D106" i="3" s="1"/>
  <c r="M78" i="3"/>
  <c r="M61" i="3"/>
  <c r="D62" i="3"/>
  <c r="D61" i="3" s="1"/>
  <c r="M58" i="3"/>
  <c r="D59" i="3"/>
  <c r="D58" i="3" s="1"/>
  <c r="G9" i="10"/>
  <c r="D27" i="3"/>
  <c r="D26" i="3" s="1"/>
  <c r="M27" i="3"/>
  <c r="M26" i="3" s="1"/>
  <c r="K10" i="10" s="1"/>
  <c r="D10" i="10"/>
  <c r="D52" i="3"/>
  <c r="M51" i="3"/>
  <c r="M48" i="3" s="1"/>
  <c r="D44" i="3"/>
  <c r="M43" i="3"/>
  <c r="H9" i="10"/>
  <c r="F10" i="10"/>
  <c r="D113" i="2"/>
  <c r="D118" i="2"/>
  <c r="M532" i="2"/>
  <c r="M531" i="2" s="1"/>
  <c r="M55" i="2"/>
  <c r="M40" i="2"/>
  <c r="M18" i="2" s="1"/>
  <c r="J23" i="1" s="1"/>
  <c r="U23" i="1" s="1"/>
  <c r="D55" i="2"/>
  <c r="M409" i="2"/>
  <c r="M408" i="2" s="1"/>
  <c r="D409" i="2"/>
  <c r="D408" i="2" s="1"/>
  <c r="M242" i="2"/>
  <c r="D242" i="2"/>
  <c r="M240" i="2"/>
  <c r="M239" i="2" s="1"/>
  <c r="D240" i="2"/>
  <c r="M184" i="2"/>
  <c r="D184" i="2"/>
  <c r="M178" i="2"/>
  <c r="D178" i="2"/>
  <c r="M171" i="2"/>
  <c r="D171" i="2"/>
  <c r="D168" i="2" s="1"/>
  <c r="M152" i="2"/>
  <c r="M317" i="2"/>
  <c r="D317" i="2"/>
  <c r="M312" i="2"/>
  <c r="D316" i="2"/>
  <c r="M39" i="2"/>
  <c r="M16" i="2" s="1"/>
  <c r="J21" i="1" s="1"/>
  <c r="U21" i="1" s="1"/>
  <c r="M499" i="2"/>
  <c r="M498" i="2" s="1"/>
  <c r="D499" i="2"/>
  <c r="D498" i="2" s="1"/>
  <c r="D475" i="2"/>
  <c r="D474" i="2" s="1"/>
  <c r="M459" i="2"/>
  <c r="M458" i="2" s="1"/>
  <c r="M245" i="2"/>
  <c r="M244" i="2" s="1"/>
  <c r="D245" i="2"/>
  <c r="D244" i="2" s="1"/>
  <c r="M204" i="2"/>
  <c r="M203" i="2" s="1"/>
  <c r="D204" i="2"/>
  <c r="D203" i="2" s="1"/>
  <c r="M199" i="2"/>
  <c r="D199" i="2"/>
  <c r="D198" i="2" s="1"/>
  <c r="M195" i="2"/>
  <c r="M194" i="2" s="1"/>
  <c r="D195" i="2"/>
  <c r="D194" i="2" s="1"/>
  <c r="M181" i="2"/>
  <c r="D181" i="2"/>
  <c r="M292" i="2"/>
  <c r="D292" i="2"/>
  <c r="M130" i="2"/>
  <c r="M129" i="2" s="1"/>
  <c r="D130" i="2"/>
  <c r="D129" i="2" s="1"/>
  <c r="M83" i="2"/>
  <c r="D83" i="2"/>
  <c r="M76" i="2"/>
  <c r="D77" i="2"/>
  <c r="M106" i="2"/>
  <c r="D106" i="2"/>
  <c r="M91" i="2"/>
  <c r="D91" i="2"/>
  <c r="M78" i="2"/>
  <c r="D80" i="2"/>
  <c r="M186" i="2"/>
  <c r="D186" i="2"/>
  <c r="D25" i="10"/>
  <c r="E25" i="10"/>
  <c r="E40" i="2"/>
  <c r="E18" i="2" s="1"/>
  <c r="B23" i="1" s="1"/>
  <c r="B128" i="1" s="1"/>
  <c r="B189" i="1" s="1"/>
  <c r="N418" i="2"/>
  <c r="N417" i="2" s="1"/>
  <c r="L39" i="10" s="1"/>
  <c r="M304" i="2"/>
  <c r="M300" i="2" s="1"/>
  <c r="D304" i="2"/>
  <c r="D224" i="2"/>
  <c r="M338" i="2"/>
  <c r="M217" i="2"/>
  <c r="D217" i="2"/>
  <c r="M174" i="2"/>
  <c r="M173" i="2" s="1"/>
  <c r="D174" i="2"/>
  <c r="D173" i="2" s="1"/>
  <c r="M165" i="2"/>
  <c r="D165" i="2"/>
  <c r="M163" i="2"/>
  <c r="M48" i="2"/>
  <c r="M29" i="2" s="1"/>
  <c r="J39" i="1" s="1"/>
  <c r="M154" i="2"/>
  <c r="D154" i="2"/>
  <c r="M146" i="2"/>
  <c r="D146" i="2"/>
  <c r="M125" i="2"/>
  <c r="D125" i="2"/>
  <c r="M309" i="2"/>
  <c r="M306" i="2" s="1"/>
  <c r="M52" i="2"/>
  <c r="M523" i="2"/>
  <c r="M483" i="2"/>
  <c r="M482" i="2" s="1"/>
  <c r="D483" i="2"/>
  <c r="D482" i="2" s="1"/>
  <c r="M467" i="2"/>
  <c r="M466" i="2" s="1"/>
  <c r="D467" i="2"/>
  <c r="D466" i="2" s="1"/>
  <c r="M211" i="2"/>
  <c r="M210" i="2" s="1"/>
  <c r="D211" i="2"/>
  <c r="D210" i="2" s="1"/>
  <c r="M160" i="2"/>
  <c r="D160" i="2"/>
  <c r="D157" i="2" s="1"/>
  <c r="M149" i="2"/>
  <c r="D149" i="2"/>
  <c r="M127" i="2"/>
  <c r="D127" i="2"/>
  <c r="M87" i="2"/>
  <c r="D87" i="2"/>
  <c r="M69" i="2"/>
  <c r="M68" i="2" s="1"/>
  <c r="D71" i="2"/>
  <c r="D69" i="2" s="1"/>
  <c r="D68" i="2" s="1"/>
  <c r="M116" i="2"/>
  <c r="D116" i="2"/>
  <c r="M108" i="2"/>
  <c r="D108" i="2"/>
  <c r="M99" i="2"/>
  <c r="D99" i="2"/>
  <c r="M94" i="2"/>
  <c r="D94" i="2"/>
  <c r="D378" i="2"/>
  <c r="M215" i="2"/>
  <c r="D215" i="2"/>
  <c r="M323" i="2"/>
  <c r="M319" i="2" s="1"/>
  <c r="D324" i="2"/>
  <c r="D323" i="2" s="1"/>
  <c r="N332" i="2"/>
  <c r="N331" i="2" s="1"/>
  <c r="L29" i="10" s="1"/>
  <c r="N32" i="2"/>
  <c r="K44" i="1" s="1"/>
  <c r="M297" i="2"/>
  <c r="M294" i="2" s="1"/>
  <c r="D297" i="2"/>
  <c r="D294" i="2" s="1"/>
  <c r="M118" i="2"/>
  <c r="E335" i="2"/>
  <c r="E270" i="2"/>
  <c r="M443" i="2"/>
  <c r="J77" i="1" s="1"/>
  <c r="M382" i="2"/>
  <c r="M390" i="2"/>
  <c r="M375" i="2"/>
  <c r="M373" i="2"/>
  <c r="M386" i="2"/>
  <c r="G300" i="2"/>
  <c r="G11" i="2" s="1"/>
  <c r="D14" i="1" s="1"/>
  <c r="D532" i="2"/>
  <c r="D531" i="2" s="1"/>
  <c r="M341" i="2"/>
  <c r="M340" i="2" s="1"/>
  <c r="M162" i="2"/>
  <c r="M404" i="2"/>
  <c r="M336" i="2"/>
  <c r="M113" i="2"/>
  <c r="J19" i="10"/>
  <c r="D253" i="6"/>
  <c r="D252" i="6" s="1"/>
  <c r="D251" i="6" s="1"/>
  <c r="D268" i="6"/>
  <c r="D267" i="6" s="1"/>
  <c r="J19" i="1"/>
  <c r="O9" i="3"/>
  <c r="L13" i="6"/>
  <c r="G19" i="10"/>
  <c r="D100" i="6"/>
  <c r="D99" i="6" s="1"/>
  <c r="D7" i="10"/>
  <c r="P13" i="6"/>
  <c r="P248" i="6"/>
  <c r="P247" i="6" s="1"/>
  <c r="Q13" i="6"/>
  <c r="D195" i="3"/>
  <c r="D192" i="3" s="1"/>
  <c r="L18" i="9"/>
  <c r="L17" i="9" s="1"/>
  <c r="I97" i="1" s="1"/>
  <c r="I91" i="1" s="1"/>
  <c r="L10" i="5"/>
  <c r="N36" i="2"/>
  <c r="D45" i="7"/>
  <c r="D44" i="7" s="1"/>
  <c r="D10" i="7"/>
  <c r="J10" i="8"/>
  <c r="H15" i="10"/>
  <c r="M15" i="10"/>
  <c r="O10" i="8"/>
  <c r="I14" i="10"/>
  <c r="G26" i="10"/>
  <c r="L248" i="6"/>
  <c r="L247" i="6" s="1"/>
  <c r="Z174" i="3"/>
  <c r="F20" i="10"/>
  <c r="K22" i="4"/>
  <c r="G22" i="4"/>
  <c r="E369" i="2"/>
  <c r="C11" i="10" s="1"/>
  <c r="N177" i="2"/>
  <c r="J19" i="12" s="1"/>
  <c r="N157" i="2"/>
  <c r="J11" i="12" s="1"/>
  <c r="K14" i="4"/>
  <c r="K13" i="4" s="1"/>
  <c r="D61" i="8"/>
  <c r="N30" i="3"/>
  <c r="J16" i="10"/>
  <c r="L15" i="7"/>
  <c r="I244" i="6"/>
  <c r="E244" i="6"/>
  <c r="J248" i="6"/>
  <c r="J247" i="6" s="1"/>
  <c r="D20" i="10"/>
  <c r="I22" i="4"/>
  <c r="E22" i="4"/>
  <c r="L34" i="10"/>
  <c r="P9" i="8"/>
  <c r="C30" i="10"/>
  <c r="J8" i="3"/>
  <c r="Q8" i="9"/>
  <c r="J18" i="9"/>
  <c r="J17" i="9" s="1"/>
  <c r="N181" i="8"/>
  <c r="L192" i="8"/>
  <c r="L191" i="8" s="1"/>
  <c r="N11" i="9"/>
  <c r="L11" i="8"/>
  <c r="D72" i="8"/>
  <c r="D69" i="8" s="1"/>
  <c r="J24" i="8"/>
  <c r="N18" i="8"/>
  <c r="C15" i="10"/>
  <c r="N13" i="8"/>
  <c r="L18" i="7"/>
  <c r="I102" i="1" s="1"/>
  <c r="I100" i="1" s="1"/>
  <c r="H17" i="7"/>
  <c r="O12" i="7"/>
  <c r="O11" i="7" s="1"/>
  <c r="J12" i="7"/>
  <c r="J11" i="7" s="1"/>
  <c r="O246" i="6"/>
  <c r="O244" i="6" s="1"/>
  <c r="E248" i="6"/>
  <c r="E247" i="6" s="1"/>
  <c r="O25" i="6"/>
  <c r="O21" i="6" s="1"/>
  <c r="K72" i="6"/>
  <c r="K11" i="6" s="1"/>
  <c r="K80" i="5"/>
  <c r="K76" i="5" s="1"/>
  <c r="E19" i="5"/>
  <c r="E18" i="5" s="1"/>
  <c r="N16" i="5"/>
  <c r="N14" i="5"/>
  <c r="E14" i="5"/>
  <c r="N23" i="4"/>
  <c r="N22" i="4" s="1"/>
  <c r="E20" i="4"/>
  <c r="D45" i="4"/>
  <c r="E14" i="4"/>
  <c r="D199" i="3"/>
  <c r="D198" i="3" s="1"/>
  <c r="D289" i="6" s="1"/>
  <c r="L12" i="9"/>
  <c r="L11" i="9" s="1"/>
  <c r="D137" i="8"/>
  <c r="D136" i="8" s="1"/>
  <c r="J113" i="8"/>
  <c r="D13" i="10"/>
  <c r="F9" i="8"/>
  <c r="K61" i="8"/>
  <c r="I16" i="10" s="1"/>
  <c r="D36" i="8"/>
  <c r="I13" i="8"/>
  <c r="K12" i="7"/>
  <c r="K11" i="7" s="1"/>
  <c r="E8" i="7"/>
  <c r="D14" i="7"/>
  <c r="D12" i="7" s="1"/>
  <c r="D24" i="7"/>
  <c r="D23" i="7" s="1"/>
  <c r="D8" i="7"/>
  <c r="N244" i="6"/>
  <c r="L22" i="6"/>
  <c r="N85" i="6"/>
  <c r="N84" i="6" s="1"/>
  <c r="N12" i="6" s="1"/>
  <c r="N27" i="5"/>
  <c r="L37" i="10" s="1"/>
  <c r="D30" i="5"/>
  <c r="O20" i="4"/>
  <c r="O13" i="4" s="1"/>
  <c r="AA27" i="4"/>
  <c r="N17" i="10"/>
  <c r="W17" i="10" s="1"/>
  <c r="K11" i="8"/>
  <c r="G15" i="10"/>
  <c r="I10" i="8"/>
  <c r="I9" i="8" s="1"/>
  <c r="L12" i="7"/>
  <c r="L11" i="7" s="1"/>
  <c r="E12" i="7"/>
  <c r="E11" i="7" s="1"/>
  <c r="L20" i="7"/>
  <c r="N73" i="6"/>
  <c r="N72" i="6" s="1"/>
  <c r="N11" i="6" s="1"/>
  <c r="J19" i="6"/>
  <c r="J13" i="6" s="1"/>
  <c r="E16" i="5"/>
  <c r="E10" i="5"/>
  <c r="C36" i="10"/>
  <c r="D23" i="4"/>
  <c r="AA24" i="4"/>
  <c r="D121" i="3"/>
  <c r="M21" i="10"/>
  <c r="Z162" i="3"/>
  <c r="D447" i="2"/>
  <c r="D446" i="2" s="1"/>
  <c r="L207" i="2"/>
  <c r="D207" i="2"/>
  <c r="H21" i="12"/>
  <c r="L177" i="2"/>
  <c r="H16" i="12"/>
  <c r="Z114" i="3"/>
  <c r="N431" i="2"/>
  <c r="K59" i="1" s="1"/>
  <c r="H20" i="12"/>
  <c r="H430" i="2"/>
  <c r="E14" i="2"/>
  <c r="Z8" i="9"/>
  <c r="I34" i="10"/>
  <c r="D214" i="8"/>
  <c r="D213" i="8" s="1"/>
  <c r="D192" i="8"/>
  <c r="D191" i="8" s="1"/>
  <c r="F180" i="8" s="1"/>
  <c r="N11" i="8"/>
  <c r="L17" i="10"/>
  <c r="G9" i="8"/>
  <c r="P13" i="8"/>
  <c r="P12" i="8" s="1"/>
  <c r="D83" i="8"/>
  <c r="D82" i="8" s="1"/>
  <c r="D17" i="8"/>
  <c r="O11" i="8"/>
  <c r="H17" i="10"/>
  <c r="J11" i="8"/>
  <c r="J17" i="10"/>
  <c r="D45" i="8"/>
  <c r="D44" i="8" s="1"/>
  <c r="L15" i="10"/>
  <c r="N10" i="8"/>
  <c r="I15" i="10"/>
  <c r="K10" i="8"/>
  <c r="K9" i="8" s="1"/>
  <c r="K13" i="8"/>
  <c r="K12" i="8" s="1"/>
  <c r="O18" i="7"/>
  <c r="L102" i="1" s="1"/>
  <c r="F17" i="7"/>
  <c r="AA14" i="7"/>
  <c r="J244" i="6"/>
  <c r="D256" i="6"/>
  <c r="D255" i="6" s="1"/>
  <c r="D246" i="6" s="1"/>
  <c r="U60" i="1" s="1"/>
  <c r="N31" i="10"/>
  <c r="N26" i="10" s="1"/>
  <c r="D95" i="6"/>
  <c r="D94" i="6" s="1"/>
  <c r="L25" i="6"/>
  <c r="D81" i="5"/>
  <c r="D80" i="5" s="1"/>
  <c r="D101" i="5"/>
  <c r="D34" i="5"/>
  <c r="D14" i="5"/>
  <c r="D75" i="4"/>
  <c r="D72" i="4" s="1"/>
  <c r="D26" i="4"/>
  <c r="D41" i="4"/>
  <c r="D40" i="4" s="1"/>
  <c r="D10" i="4"/>
  <c r="D17" i="4"/>
  <c r="AB17" i="4" s="1"/>
  <c r="P22" i="4"/>
  <c r="L9" i="9"/>
  <c r="L8" i="9" s="1"/>
  <c r="J34" i="10"/>
  <c r="J25" i="10" s="1"/>
  <c r="H34" i="10"/>
  <c r="J9" i="9"/>
  <c r="J8" i="9" s="1"/>
  <c r="R9" i="8"/>
  <c r="I117" i="8"/>
  <c r="I113" i="8" s="1"/>
  <c r="I32" i="8"/>
  <c r="F43" i="1" s="1"/>
  <c r="J30" i="8"/>
  <c r="O24" i="8"/>
  <c r="O23" i="8" s="1"/>
  <c r="L24" i="8"/>
  <c r="L23" i="8" s="1"/>
  <c r="F13" i="8"/>
  <c r="F12" i="8" s="1"/>
  <c r="E107" i="8"/>
  <c r="E106" i="8" s="1"/>
  <c r="C13" i="10" s="1"/>
  <c r="E14" i="8"/>
  <c r="E13" i="8" s="1"/>
  <c r="E12" i="8" s="1"/>
  <c r="K24" i="8"/>
  <c r="J13" i="8"/>
  <c r="J12" i="8" s="1"/>
  <c r="K30" i="8"/>
  <c r="K8" i="7"/>
  <c r="J31" i="10"/>
  <c r="D73" i="5"/>
  <c r="N19" i="5"/>
  <c r="N18" i="5" s="1"/>
  <c r="I18" i="8"/>
  <c r="L9" i="8"/>
  <c r="H9" i="8"/>
  <c r="AA13" i="7"/>
  <c r="D29" i="7"/>
  <c r="D28" i="7" s="1"/>
  <c r="D21" i="7"/>
  <c r="D20" i="7" s="1"/>
  <c r="AA15" i="7"/>
  <c r="N248" i="6"/>
  <c r="N247" i="6" s="1"/>
  <c r="D264" i="6"/>
  <c r="D263" i="6" s="1"/>
  <c r="E13" i="6"/>
  <c r="D79" i="5"/>
  <c r="D77" i="5" s="1"/>
  <c r="D76" i="5" s="1"/>
  <c r="N10" i="5"/>
  <c r="O10" i="5"/>
  <c r="D54" i="4"/>
  <c r="D53" i="4" s="1"/>
  <c r="J13" i="4"/>
  <c r="AA14" i="4"/>
  <c r="Z523" i="2"/>
  <c r="O431" i="2"/>
  <c r="L210" i="2"/>
  <c r="N168" i="2"/>
  <c r="L157" i="2"/>
  <c r="I98" i="2"/>
  <c r="I11" i="2" s="1"/>
  <c r="D97" i="1"/>
  <c r="D91" i="1" s="1"/>
  <c r="N48" i="3"/>
  <c r="D415" i="2"/>
  <c r="D31" i="2"/>
  <c r="F430" i="2"/>
  <c r="D270" i="2"/>
  <c r="L21" i="6" l="1"/>
  <c r="D74" i="6"/>
  <c r="D20" i="6" s="1"/>
  <c r="Z26" i="6" s="1"/>
  <c r="M20" i="6"/>
  <c r="D313" i="2"/>
  <c r="O31" i="1"/>
  <c r="O48" i="1" s="1"/>
  <c r="O134" i="1" s="1"/>
  <c r="O211" i="1" s="1"/>
  <c r="D147" i="1"/>
  <c r="Y68" i="1"/>
  <c r="Y65" i="1"/>
  <c r="U64" i="1"/>
  <c r="D31" i="1"/>
  <c r="D48" i="1" s="1"/>
  <c r="E45" i="10" s="1"/>
  <c r="M99" i="1"/>
  <c r="X67" i="1"/>
  <c r="U66" i="1"/>
  <c r="X66" i="1"/>
  <c r="V27" i="1"/>
  <c r="X27" i="1"/>
  <c r="X19" i="1"/>
  <c r="L72" i="1"/>
  <c r="V64" i="1"/>
  <c r="X64" i="1"/>
  <c r="X23" i="1"/>
  <c r="Y23" i="1" s="1"/>
  <c r="Y29" i="1"/>
  <c r="U26" i="1"/>
  <c r="X26" i="1"/>
  <c r="X70" i="1"/>
  <c r="Y70" i="1" s="1"/>
  <c r="Y69" i="1"/>
  <c r="X21" i="1"/>
  <c r="Y21" i="1" s="1"/>
  <c r="Y20" i="1"/>
  <c r="O58" i="1"/>
  <c r="W80" i="1"/>
  <c r="Y71" i="1"/>
  <c r="O23" i="2"/>
  <c r="L100" i="1"/>
  <c r="O131" i="1"/>
  <c r="O193" i="1" s="1"/>
  <c r="F10" i="6"/>
  <c r="P23" i="2"/>
  <c r="M98" i="1" s="1"/>
  <c r="D319" i="2"/>
  <c r="H23" i="2"/>
  <c r="E98" i="1" s="1"/>
  <c r="E96" i="1" s="1"/>
  <c r="J23" i="2"/>
  <c r="G36" i="2"/>
  <c r="E7" i="10" s="1"/>
  <c r="K36" i="2"/>
  <c r="I7" i="10" s="1"/>
  <c r="G23" i="2"/>
  <c r="D98" i="1" s="1"/>
  <c r="D92" i="1" s="1"/>
  <c r="M378" i="2"/>
  <c r="P9" i="2"/>
  <c r="E54" i="2"/>
  <c r="O9" i="2"/>
  <c r="G59" i="1"/>
  <c r="G58" i="1" s="1"/>
  <c r="G86" i="1" s="1"/>
  <c r="I23" i="2"/>
  <c r="F12" i="2"/>
  <c r="K23" i="2"/>
  <c r="R23" i="2"/>
  <c r="M335" i="2"/>
  <c r="M403" i="2"/>
  <c r="M98" i="2"/>
  <c r="M157" i="2"/>
  <c r="I11" i="12" s="1"/>
  <c r="H11" i="12" s="1"/>
  <c r="M43" i="2"/>
  <c r="M42" i="2" s="1"/>
  <c r="D183" i="2"/>
  <c r="M168" i="2"/>
  <c r="I23" i="12" s="1"/>
  <c r="Z36" i="2"/>
  <c r="H14" i="1"/>
  <c r="D98" i="2"/>
  <c r="M58" i="2"/>
  <c r="M198" i="2"/>
  <c r="N24" i="2"/>
  <c r="X36" i="2"/>
  <c r="C99" i="1"/>
  <c r="F86" i="1"/>
  <c r="L130" i="1"/>
  <c r="L192" i="1" s="1"/>
  <c r="N25" i="1"/>
  <c r="N16" i="1" s="1"/>
  <c r="V28" i="1"/>
  <c r="D38" i="2"/>
  <c r="O132" i="1"/>
  <c r="X19" i="2"/>
  <c r="X12" i="2" s="1"/>
  <c r="D81" i="6"/>
  <c r="D80" i="6" s="1"/>
  <c r="M19" i="6"/>
  <c r="N92" i="1"/>
  <c r="C14" i="1"/>
  <c r="C89" i="1" s="1"/>
  <c r="O183" i="1"/>
  <c r="M147" i="1"/>
  <c r="M209" i="1"/>
  <c r="N31" i="1"/>
  <c r="N48" i="1" s="1"/>
  <c r="N134" i="1" s="1"/>
  <c r="N211" i="1" s="1"/>
  <c r="M14" i="6"/>
  <c r="F32" i="1"/>
  <c r="H13" i="1"/>
  <c r="I31" i="10"/>
  <c r="I26" i="10" s="1"/>
  <c r="I42" i="10" s="1"/>
  <c r="H19" i="10"/>
  <c r="W25" i="10"/>
  <c r="K30" i="1"/>
  <c r="K131" i="1" s="1"/>
  <c r="K193" i="1" s="1"/>
  <c r="M25" i="10"/>
  <c r="O147" i="1"/>
  <c r="D106" i="6"/>
  <c r="D105" i="6" s="1"/>
  <c r="D12" i="6" s="1"/>
  <c r="G40" i="1"/>
  <c r="G31" i="1" s="1"/>
  <c r="G48" i="1" s="1"/>
  <c r="N147" i="1"/>
  <c r="M121" i="1"/>
  <c r="M183" i="1" s="1"/>
  <c r="N209" i="1"/>
  <c r="U124" i="1"/>
  <c r="U190" i="1" s="1"/>
  <c r="M31" i="1"/>
  <c r="M48" i="1" s="1"/>
  <c r="M90" i="1" s="1"/>
  <c r="N42" i="10"/>
  <c r="V30" i="10"/>
  <c r="P430" i="2"/>
  <c r="L377" i="2"/>
  <c r="J12" i="10" s="1"/>
  <c r="K32" i="1"/>
  <c r="E37" i="2"/>
  <c r="E36" i="2" s="1"/>
  <c r="C7" i="10" s="1"/>
  <c r="M45" i="2"/>
  <c r="H89" i="1"/>
  <c r="M37" i="2"/>
  <c r="I58" i="1"/>
  <c r="I86" i="1" s="1"/>
  <c r="O42" i="10"/>
  <c r="E89" i="1"/>
  <c r="I9" i="12"/>
  <c r="W9" i="10"/>
  <c r="C17" i="1"/>
  <c r="E40" i="1"/>
  <c r="E31" i="1" s="1"/>
  <c r="E48" i="1" s="1"/>
  <c r="E134" i="1" s="1"/>
  <c r="J138" i="1"/>
  <c r="J200" i="1" s="1"/>
  <c r="U138" i="1"/>
  <c r="U200" i="1" s="1"/>
  <c r="N105" i="1"/>
  <c r="O105" i="1"/>
  <c r="J143" i="1"/>
  <c r="J205" i="1" s="1"/>
  <c r="U39" i="1"/>
  <c r="U143" i="1" s="1"/>
  <c r="U205" i="1" s="1"/>
  <c r="D371" i="2"/>
  <c r="D370" i="2" s="1"/>
  <c r="D404" i="2"/>
  <c r="D403" i="2" s="1"/>
  <c r="M38" i="10"/>
  <c r="V38" i="10" s="1"/>
  <c r="D419" i="2"/>
  <c r="D418" i="2" s="1"/>
  <c r="D417" i="2" s="1"/>
  <c r="D427" i="2"/>
  <c r="D426" i="2" s="1"/>
  <c r="L59" i="1"/>
  <c r="D119" i="3"/>
  <c r="D118" i="3" s="1"/>
  <c r="M12" i="3"/>
  <c r="M11" i="3" s="1"/>
  <c r="D51" i="3"/>
  <c r="D48" i="3" s="1"/>
  <c r="D19" i="3"/>
  <c r="D18" i="3" s="1"/>
  <c r="D13" i="9"/>
  <c r="D12" i="9" s="1"/>
  <c r="D41" i="9"/>
  <c r="D40" i="9" s="1"/>
  <c r="D9" i="9" s="1"/>
  <c r="D8" i="9" s="1"/>
  <c r="D15" i="9"/>
  <c r="D14" i="9" s="1"/>
  <c r="L98" i="1"/>
  <c r="L96" i="1" s="1"/>
  <c r="K36" i="10"/>
  <c r="M11" i="5"/>
  <c r="D20" i="5"/>
  <c r="D19" i="5" s="1"/>
  <c r="D18" i="5" s="1"/>
  <c r="D41" i="5"/>
  <c r="D38" i="5" s="1"/>
  <c r="M25" i="6"/>
  <c r="M21" i="6" s="1"/>
  <c r="E17" i="1"/>
  <c r="H40" i="1"/>
  <c r="O209" i="1"/>
  <c r="K58" i="1"/>
  <c r="K105" i="1" s="1"/>
  <c r="H63" i="1"/>
  <c r="H62" i="1" s="1"/>
  <c r="H84" i="1" s="1"/>
  <c r="F99" i="1"/>
  <c r="M63" i="1"/>
  <c r="M62" i="1" s="1"/>
  <c r="M84" i="1" s="1"/>
  <c r="E99" i="1"/>
  <c r="G147" i="1"/>
  <c r="C147" i="1"/>
  <c r="P42" i="10"/>
  <c r="C31" i="1"/>
  <c r="C48" i="1" s="1"/>
  <c r="C118" i="1" s="1"/>
  <c r="E147" i="1"/>
  <c r="G209" i="1"/>
  <c r="J142" i="1"/>
  <c r="J204" i="1" s="1"/>
  <c r="U38" i="1"/>
  <c r="U142" i="1" s="1"/>
  <c r="U204" i="1" s="1"/>
  <c r="M92" i="1"/>
  <c r="D127" i="3"/>
  <c r="D126" i="3" s="1"/>
  <c r="D10" i="3" s="1"/>
  <c r="D12" i="3"/>
  <c r="D124" i="3"/>
  <c r="D21" i="3" s="1"/>
  <c r="M21" i="3"/>
  <c r="M70" i="5"/>
  <c r="M69" i="5" s="1"/>
  <c r="K146" i="1"/>
  <c r="K208" i="1" s="1"/>
  <c r="K51" i="1"/>
  <c r="L146" i="1"/>
  <c r="L208" i="1" s="1"/>
  <c r="L209" i="1" s="1"/>
  <c r="L51" i="1"/>
  <c r="V121" i="1"/>
  <c r="L60" i="1"/>
  <c r="L63" i="1"/>
  <c r="L62" i="1" s="1"/>
  <c r="L84" i="1" s="1"/>
  <c r="D21" i="4"/>
  <c r="D20" i="4" s="1"/>
  <c r="D17" i="1"/>
  <c r="D90" i="1"/>
  <c r="D148" i="1" s="1"/>
  <c r="D134" i="1"/>
  <c r="D196" i="1" s="1"/>
  <c r="D99" i="1"/>
  <c r="H86" i="1"/>
  <c r="H74" i="1"/>
  <c r="H85" i="1" s="1"/>
  <c r="H99" i="1" s="1"/>
  <c r="B62" i="1"/>
  <c r="B84" i="1" s="1"/>
  <c r="G97" i="1"/>
  <c r="G91" i="1" s="1"/>
  <c r="L122" i="1"/>
  <c r="L184" i="1" s="1"/>
  <c r="D118" i="1"/>
  <c r="K97" i="1"/>
  <c r="K91" i="1" s="1"/>
  <c r="L123" i="1"/>
  <c r="L185" i="1" s="1"/>
  <c r="L14" i="1"/>
  <c r="L40" i="1"/>
  <c r="L31" i="1" s="1"/>
  <c r="L48" i="1" s="1"/>
  <c r="X8" i="10"/>
  <c r="L18" i="1"/>
  <c r="L131" i="1"/>
  <c r="L193" i="1" s="1"/>
  <c r="U67" i="1"/>
  <c r="Y67" i="1" s="1"/>
  <c r="V130" i="1"/>
  <c r="V17" i="10"/>
  <c r="M42" i="10"/>
  <c r="W13" i="10"/>
  <c r="U27" i="1"/>
  <c r="U130" i="1" s="1"/>
  <c r="U192" i="1" s="1"/>
  <c r="M15" i="7"/>
  <c r="J73" i="1"/>
  <c r="X73" i="1" s="1"/>
  <c r="I99" i="1"/>
  <c r="M20" i="7"/>
  <c r="M17" i="7" s="1"/>
  <c r="J82" i="1"/>
  <c r="L74" i="1"/>
  <c r="L85" i="1" s="1"/>
  <c r="L99" i="1" s="1"/>
  <c r="J139" i="1"/>
  <c r="J201" i="1" s="1"/>
  <c r="U79" i="1"/>
  <c r="U139" i="1" s="1"/>
  <c r="U201" i="1" s="1"/>
  <c r="V31" i="10"/>
  <c r="H136" i="1"/>
  <c r="H32" i="1"/>
  <c r="L7" i="10"/>
  <c r="V20" i="10"/>
  <c r="P184" i="1"/>
  <c r="P194" i="1" s="1"/>
  <c r="P132" i="1"/>
  <c r="P133" i="1" s="1"/>
  <c r="K102" i="1"/>
  <c r="K100" i="1" s="1"/>
  <c r="K99" i="1" s="1"/>
  <c r="B137" i="1"/>
  <c r="B199" i="1" s="1"/>
  <c r="P105" i="1"/>
  <c r="P120" i="1"/>
  <c r="J123" i="1"/>
  <c r="J185" i="1" s="1"/>
  <c r="U19" i="1"/>
  <c r="V10" i="10"/>
  <c r="N9" i="3"/>
  <c r="N8" i="3" s="1"/>
  <c r="L9" i="10"/>
  <c r="J33" i="1"/>
  <c r="D13" i="1"/>
  <c r="D88" i="1" s="1"/>
  <c r="F198" i="1"/>
  <c r="C92" i="1"/>
  <c r="C96" i="1"/>
  <c r="D96" i="1"/>
  <c r="D95" i="1" s="1"/>
  <c r="D89" i="1"/>
  <c r="I144" i="1"/>
  <c r="I206" i="1" s="1"/>
  <c r="I209" i="1" s="1"/>
  <c r="I40" i="1"/>
  <c r="E92" i="1"/>
  <c r="K144" i="1"/>
  <c r="K40" i="1"/>
  <c r="U125" i="1"/>
  <c r="U186" i="1" s="1"/>
  <c r="J125" i="1"/>
  <c r="J186" i="1" s="1"/>
  <c r="F14" i="1"/>
  <c r="F89" i="1" s="1"/>
  <c r="L13" i="2"/>
  <c r="I18" i="1"/>
  <c r="E131" i="1"/>
  <c r="E193" i="1" s="1"/>
  <c r="E25" i="1"/>
  <c r="D131" i="1"/>
  <c r="D193" i="1" s="1"/>
  <c r="D25" i="1"/>
  <c r="K19" i="2"/>
  <c r="K12" i="2" s="1"/>
  <c r="H30" i="1"/>
  <c r="L19" i="2"/>
  <c r="I30" i="1"/>
  <c r="J63" i="1"/>
  <c r="X63" i="1" s="1"/>
  <c r="O41" i="10"/>
  <c r="F25" i="1"/>
  <c r="I32" i="1"/>
  <c r="H18" i="1"/>
  <c r="G25" i="1"/>
  <c r="O16" i="1"/>
  <c r="U77" i="1"/>
  <c r="J75" i="1"/>
  <c r="J128" i="1"/>
  <c r="J189" i="1" s="1"/>
  <c r="U128" i="1"/>
  <c r="U189" i="1" s="1"/>
  <c r="I13" i="2"/>
  <c r="F18" i="1"/>
  <c r="E30" i="2"/>
  <c r="E23" i="2" s="1"/>
  <c r="B98" i="1" s="1"/>
  <c r="B92" i="1" s="1"/>
  <c r="B45" i="1"/>
  <c r="E430" i="2"/>
  <c r="B60" i="1"/>
  <c r="B58" i="1" s="1"/>
  <c r="B86" i="1" s="1"/>
  <c r="O13" i="2"/>
  <c r="O12" i="2" s="1"/>
  <c r="W11" i="10"/>
  <c r="B127" i="1"/>
  <c r="B188" i="1" s="1"/>
  <c r="K18" i="1"/>
  <c r="G18" i="1"/>
  <c r="M130" i="1"/>
  <c r="M192" i="1" s="1"/>
  <c r="M25" i="1"/>
  <c r="M16" i="1" s="1"/>
  <c r="M47" i="1" s="1"/>
  <c r="C131" i="1"/>
  <c r="C193" i="1" s="1"/>
  <c r="C25" i="1"/>
  <c r="B99" i="1"/>
  <c r="N41" i="10"/>
  <c r="F141" i="1"/>
  <c r="F203" i="1" s="1"/>
  <c r="F40" i="1"/>
  <c r="M113" i="8"/>
  <c r="M14" i="1"/>
  <c r="V14" i="1" s="1"/>
  <c r="X11" i="8"/>
  <c r="K13" i="1"/>
  <c r="K88" i="1" s="1"/>
  <c r="B18" i="1"/>
  <c r="G14" i="10"/>
  <c r="J9" i="8"/>
  <c r="G14" i="1"/>
  <c r="G89" i="1" s="1"/>
  <c r="Z9" i="8"/>
  <c r="L13" i="1"/>
  <c r="J140" i="1"/>
  <c r="J202" i="1" s="1"/>
  <c r="U140" i="1"/>
  <c r="U202" i="1" s="1"/>
  <c r="U43" i="1"/>
  <c r="U141" i="1" s="1"/>
  <c r="U203" i="1" s="1"/>
  <c r="J141" i="1"/>
  <c r="J203" i="1" s="1"/>
  <c r="O196" i="1"/>
  <c r="N91" i="1"/>
  <c r="X10" i="8"/>
  <c r="X9" i="8" s="1"/>
  <c r="M91" i="1"/>
  <c r="F13" i="1"/>
  <c r="V37" i="10"/>
  <c r="C13" i="1"/>
  <c r="F10" i="5"/>
  <c r="H10" i="5"/>
  <c r="G13" i="1"/>
  <c r="J10" i="5"/>
  <c r="N13" i="1"/>
  <c r="Q10" i="5"/>
  <c r="M13" i="1"/>
  <c r="P10" i="5"/>
  <c r="D183" i="1"/>
  <c r="D194" i="1" s="1"/>
  <c r="N183" i="1"/>
  <c r="N194" i="1" s="1"/>
  <c r="N132" i="1"/>
  <c r="C183" i="1"/>
  <c r="C194" i="1" s="1"/>
  <c r="E183" i="1"/>
  <c r="E194" i="1" s="1"/>
  <c r="R10" i="5"/>
  <c r="O13" i="1"/>
  <c r="J26" i="10"/>
  <c r="M22" i="4"/>
  <c r="W78" i="1"/>
  <c r="V21" i="1"/>
  <c r="V125" i="1" s="1"/>
  <c r="V67" i="1"/>
  <c r="V122" i="1" s="1"/>
  <c r="V19" i="1"/>
  <c r="M10" i="13"/>
  <c r="M9" i="13" s="1"/>
  <c r="K32" i="10"/>
  <c r="V32" i="10" s="1"/>
  <c r="M22" i="9"/>
  <c r="M9" i="9" s="1"/>
  <c r="M8" i="9" s="1"/>
  <c r="M12" i="7"/>
  <c r="M11" i="7" s="1"/>
  <c r="D36" i="7"/>
  <c r="D16" i="7"/>
  <c r="D15" i="7" s="1"/>
  <c r="D11" i="7" s="1"/>
  <c r="D33" i="7"/>
  <c r="D32" i="7" s="1"/>
  <c r="AB11" i="7" s="1"/>
  <c r="D19" i="7"/>
  <c r="D18" i="7" s="1"/>
  <c r="D17" i="7" s="1"/>
  <c r="D87" i="7"/>
  <c r="D86" i="7" s="1"/>
  <c r="M86" i="7"/>
  <c r="M32" i="7"/>
  <c r="M99" i="8"/>
  <c r="D20" i="8"/>
  <c r="Z31" i="8" s="1"/>
  <c r="D16" i="8"/>
  <c r="D55" i="8"/>
  <c r="D54" i="8" s="1"/>
  <c r="D15" i="8"/>
  <c r="Z25" i="8" s="1"/>
  <c r="M35" i="8"/>
  <c r="M10" i="8" s="1"/>
  <c r="Q8" i="3"/>
  <c r="F97" i="1"/>
  <c r="V131" i="1"/>
  <c r="H10" i="6"/>
  <c r="L10" i="6"/>
  <c r="I10" i="6"/>
  <c r="G10" i="6"/>
  <c r="W30" i="10"/>
  <c r="P10" i="6"/>
  <c r="X11" i="5"/>
  <c r="X10" i="5" s="1"/>
  <c r="E9" i="3"/>
  <c r="X8" i="3"/>
  <c r="Q12" i="2"/>
  <c r="V128" i="1"/>
  <c r="X9" i="2"/>
  <c r="D105" i="2"/>
  <c r="M151" i="2"/>
  <c r="H8" i="3"/>
  <c r="M42" i="3"/>
  <c r="M60" i="3"/>
  <c r="C9" i="10"/>
  <c r="D432" i="2"/>
  <c r="N11" i="2"/>
  <c r="K14" i="1" s="1"/>
  <c r="D117" i="8"/>
  <c r="D32" i="8"/>
  <c r="Z32" i="8" s="1"/>
  <c r="D114" i="8"/>
  <c r="D26" i="8"/>
  <c r="D60" i="3"/>
  <c r="E10" i="10"/>
  <c r="E42" i="10" s="1"/>
  <c r="E48" i="10" s="1"/>
  <c r="Z27" i="8"/>
  <c r="Z17" i="8"/>
  <c r="L11" i="2"/>
  <c r="I14" i="1" s="1"/>
  <c r="M440" i="2"/>
  <c r="M439" i="2" s="1"/>
  <c r="J102" i="1" s="1"/>
  <c r="U102" i="1" s="1"/>
  <c r="I19" i="2"/>
  <c r="D435" i="2"/>
  <c r="D434" i="2" s="1"/>
  <c r="D524" i="2"/>
  <c r="D523" i="2" s="1"/>
  <c r="D431" i="2" s="1"/>
  <c r="D336" i="2"/>
  <c r="D327" i="2"/>
  <c r="N12" i="8"/>
  <c r="Z326" i="2"/>
  <c r="E300" i="2"/>
  <c r="E44" i="2"/>
  <c r="C8" i="10" s="1"/>
  <c r="D112" i="2"/>
  <c r="W28" i="10"/>
  <c r="D412" i="2"/>
  <c r="L430" i="2"/>
  <c r="P12" i="2"/>
  <c r="M112" i="2"/>
  <c r="D40" i="2"/>
  <c r="D18" i="2" s="1"/>
  <c r="M432" i="2"/>
  <c r="J60" i="1" s="1"/>
  <c r="M11" i="10"/>
  <c r="Z369" i="2"/>
  <c r="H38" i="12"/>
  <c r="J23" i="12"/>
  <c r="H23" i="12" s="1"/>
  <c r="G22" i="12" s="1"/>
  <c r="E21" i="2"/>
  <c r="H9" i="12"/>
  <c r="S10" i="4"/>
  <c r="AA10" i="4" s="1"/>
  <c r="AB10" i="4" s="1"/>
  <c r="H19" i="2"/>
  <c r="H12" i="2" s="1"/>
  <c r="G19" i="2"/>
  <c r="G12" i="2" s="1"/>
  <c r="J19" i="2"/>
  <c r="J12" i="2" s="1"/>
  <c r="D78" i="2"/>
  <c r="D52" i="2"/>
  <c r="D98" i="5"/>
  <c r="N13" i="5"/>
  <c r="D97" i="5"/>
  <c r="D71" i="5"/>
  <c r="D70" i="5" s="1"/>
  <c r="D69" i="5" s="1"/>
  <c r="D92" i="5"/>
  <c r="D91" i="5" s="1"/>
  <c r="M10" i="5"/>
  <c r="D36" i="5"/>
  <c r="D33" i="5" s="1"/>
  <c r="D11" i="5" s="1"/>
  <c r="D16" i="5"/>
  <c r="D13" i="5" s="1"/>
  <c r="M76" i="5"/>
  <c r="F42" i="10"/>
  <c r="D42" i="10"/>
  <c r="N19" i="2"/>
  <c r="N12" i="2" s="1"/>
  <c r="AA21" i="2"/>
  <c r="D177" i="2"/>
  <c r="M90" i="2"/>
  <c r="M82" i="2"/>
  <c r="D54" i="2"/>
  <c r="Z9" i="2"/>
  <c r="D42" i="2"/>
  <c r="I25" i="10"/>
  <c r="H9" i="2"/>
  <c r="M431" i="2"/>
  <c r="J59" i="1" s="1"/>
  <c r="M105" i="2"/>
  <c r="L24" i="2"/>
  <c r="D300" i="2"/>
  <c r="G9" i="2"/>
  <c r="D507" i="2"/>
  <c r="D506" i="2" s="1"/>
  <c r="L30" i="2"/>
  <c r="K35" i="10"/>
  <c r="V35" i="10" s="1"/>
  <c r="M18" i="9"/>
  <c r="M17" i="9" s="1"/>
  <c r="D18" i="9"/>
  <c r="D17" i="9" s="1"/>
  <c r="M12" i="9"/>
  <c r="K34" i="10"/>
  <c r="V34" i="10" s="1"/>
  <c r="M14" i="9"/>
  <c r="L10" i="10"/>
  <c r="M24" i="8"/>
  <c r="M18" i="8"/>
  <c r="M12" i="8" s="1"/>
  <c r="M434" i="2"/>
  <c r="M433" i="2" s="1"/>
  <c r="E41" i="10"/>
  <c r="D33" i="8"/>
  <c r="D30" i="8" s="1"/>
  <c r="D77" i="8"/>
  <c r="D19" i="8"/>
  <c r="D110" i="8"/>
  <c r="M93" i="8"/>
  <c r="K13" i="10" s="1"/>
  <c r="V13" i="10" s="1"/>
  <c r="M30" i="8"/>
  <c r="D102" i="8"/>
  <c r="K23" i="8"/>
  <c r="Z18" i="8"/>
  <c r="D40" i="8"/>
  <c r="D35" i="8" s="1"/>
  <c r="M11" i="8"/>
  <c r="D93" i="8"/>
  <c r="D100" i="8"/>
  <c r="D43" i="3"/>
  <c r="D42" i="3" s="1"/>
  <c r="D54" i="3"/>
  <c r="M108" i="3"/>
  <c r="M115" i="3"/>
  <c r="M114" i="3" s="1"/>
  <c r="K9" i="10" s="1"/>
  <c r="V9" i="10" s="1"/>
  <c r="M102" i="3"/>
  <c r="K21" i="10"/>
  <c r="V21" i="10" s="1"/>
  <c r="K22" i="10"/>
  <c r="V22" i="10" s="1"/>
  <c r="M54" i="3"/>
  <c r="D108" i="3"/>
  <c r="D102" i="3"/>
  <c r="M124" i="2"/>
  <c r="M11" i="2" s="1"/>
  <c r="J14" i="1" s="1"/>
  <c r="M145" i="2"/>
  <c r="M370" i="2"/>
  <c r="M381" i="2"/>
  <c r="D381" i="2"/>
  <c r="D377" i="2" s="1"/>
  <c r="N30" i="2"/>
  <c r="M33" i="2"/>
  <c r="M50" i="2"/>
  <c r="D163" i="2"/>
  <c r="D48" i="2"/>
  <c r="D29" i="2" s="1"/>
  <c r="D162" i="2"/>
  <c r="M20" i="2"/>
  <c r="J28" i="1" s="1"/>
  <c r="X28" i="1" s="1"/>
  <c r="M329" i="2"/>
  <c r="M26" i="2"/>
  <c r="J36" i="1" s="1"/>
  <c r="U36" i="1" s="1"/>
  <c r="M75" i="2"/>
  <c r="D39" i="2"/>
  <c r="D16" i="2" s="1"/>
  <c r="D312" i="2"/>
  <c r="D288" i="2"/>
  <c r="D152" i="2"/>
  <c r="D151" i="2" s="1"/>
  <c r="D46" i="2"/>
  <c r="D239" i="2"/>
  <c r="M54" i="2"/>
  <c r="L26" i="10"/>
  <c r="D41" i="10"/>
  <c r="M385" i="2"/>
  <c r="M374" i="2"/>
  <c r="D374" i="2"/>
  <c r="D214" i="2"/>
  <c r="D309" i="2"/>
  <c r="D306" i="2" s="1"/>
  <c r="D124" i="2"/>
  <c r="D145" i="2"/>
  <c r="M214" i="2"/>
  <c r="D338" i="2"/>
  <c r="M21" i="2"/>
  <c r="D90" i="2"/>
  <c r="D76" i="2"/>
  <c r="D47" i="2"/>
  <c r="D28" i="2" s="1"/>
  <c r="D82" i="2"/>
  <c r="D443" i="2"/>
  <c r="D440" i="2" s="1"/>
  <c r="D459" i="2"/>
  <c r="M288" i="2"/>
  <c r="I15" i="12" s="1"/>
  <c r="H15" i="12" s="1"/>
  <c r="G14" i="12" s="1"/>
  <c r="M177" i="2"/>
  <c r="I19" i="12" s="1"/>
  <c r="H19" i="12" s="1"/>
  <c r="G18" i="12" s="1"/>
  <c r="M183" i="2"/>
  <c r="M332" i="2"/>
  <c r="M331" i="2" s="1"/>
  <c r="K29" i="10" s="1"/>
  <c r="M32" i="2"/>
  <c r="J44" i="1" s="1"/>
  <c r="U44" i="1" s="1"/>
  <c r="M327" i="2"/>
  <c r="M14" i="2"/>
  <c r="J18" i="1" s="1"/>
  <c r="U18" i="1" s="1"/>
  <c r="D245" i="6"/>
  <c r="J10" i="6"/>
  <c r="D25" i="6"/>
  <c r="D21" i="6" s="1"/>
  <c r="E25" i="6"/>
  <c r="E21" i="6" s="1"/>
  <c r="F19" i="10"/>
  <c r="F41" i="10" s="1"/>
  <c r="E10" i="6"/>
  <c r="J9" i="10"/>
  <c r="J41" i="10" s="1"/>
  <c r="G41" i="10"/>
  <c r="J9" i="2"/>
  <c r="E13" i="2"/>
  <c r="AB15" i="4"/>
  <c r="AB16" i="4" s="1"/>
  <c r="E8" i="3"/>
  <c r="C10" i="10"/>
  <c r="D73" i="6"/>
  <c r="D72" i="6" s="1"/>
  <c r="D11" i="6" s="1"/>
  <c r="U13" i="1" s="1"/>
  <c r="D19" i="6"/>
  <c r="D13" i="6" s="1"/>
  <c r="D107" i="8"/>
  <c r="Z108" i="8"/>
  <c r="H25" i="10"/>
  <c r="H41" i="10" s="1"/>
  <c r="D14" i="4"/>
  <c r="N9" i="8"/>
  <c r="O9" i="8"/>
  <c r="N19" i="6"/>
  <c r="N13" i="6" s="1"/>
  <c r="D27" i="5"/>
  <c r="I12" i="8"/>
  <c r="E13" i="4"/>
  <c r="AA12" i="7"/>
  <c r="L17" i="7"/>
  <c r="E10" i="8"/>
  <c r="E9" i="8" s="1"/>
  <c r="J23" i="8"/>
  <c r="D11" i="8"/>
  <c r="C25" i="10"/>
  <c r="W34" i="10"/>
  <c r="L25" i="10"/>
  <c r="O430" i="2"/>
  <c r="O8" i="3"/>
  <c r="AA20" i="7"/>
  <c r="I30" i="8"/>
  <c r="I23" i="8" s="1"/>
  <c r="F98" i="1" s="1"/>
  <c r="F92" i="1" s="1"/>
  <c r="O17" i="7"/>
  <c r="AA17" i="7" s="1"/>
  <c r="D24" i="8"/>
  <c r="N430" i="2"/>
  <c r="D22" i="4"/>
  <c r="O10" i="6"/>
  <c r="D13" i="8"/>
  <c r="H14" i="10"/>
  <c r="H42" i="10" s="1"/>
  <c r="E13" i="5"/>
  <c r="K19" i="6"/>
  <c r="K13" i="6" s="1"/>
  <c r="G98" i="1" l="1"/>
  <c r="X14" i="1"/>
  <c r="P45" i="10"/>
  <c r="J42" i="10"/>
  <c r="O118" i="1"/>
  <c r="O90" i="1"/>
  <c r="Y64" i="1"/>
  <c r="M93" i="1"/>
  <c r="N196" i="1"/>
  <c r="F31" i="1"/>
  <c r="F48" i="1" s="1"/>
  <c r="F134" i="1" s="1"/>
  <c r="O194" i="1"/>
  <c r="Y26" i="1"/>
  <c r="X59" i="1"/>
  <c r="Y27" i="1"/>
  <c r="Y66" i="1"/>
  <c r="V84" i="1"/>
  <c r="W84" i="1" s="1"/>
  <c r="X60" i="1"/>
  <c r="Y60" i="1" s="1"/>
  <c r="J45" i="1"/>
  <c r="U45" i="1" s="1"/>
  <c r="U40" i="1" s="1"/>
  <c r="J50" i="1"/>
  <c r="O98" i="1"/>
  <c r="O92" i="1" s="1"/>
  <c r="O93" i="1" s="1"/>
  <c r="L17" i="1"/>
  <c r="L16" i="1" s="1"/>
  <c r="L47" i="1" s="1"/>
  <c r="L116" i="1" s="1"/>
  <c r="X18" i="1"/>
  <c r="Y18" i="1" s="1"/>
  <c r="V13" i="1"/>
  <c r="V12" i="1" s="1"/>
  <c r="O47" i="1"/>
  <c r="O120" i="1" s="1"/>
  <c r="U17" i="1"/>
  <c r="Y19" i="1"/>
  <c r="N47" i="1"/>
  <c r="N120" i="1" s="1"/>
  <c r="N195" i="1" s="1"/>
  <c r="J136" i="1"/>
  <c r="J198" i="1" s="1"/>
  <c r="U33" i="1"/>
  <c r="U32" i="1" s="1"/>
  <c r="D16" i="3"/>
  <c r="D15" i="3" s="1"/>
  <c r="N23" i="2"/>
  <c r="K98" i="1" s="1"/>
  <c r="K92" i="1" s="1"/>
  <c r="H98" i="1"/>
  <c r="H96" i="1" s="1"/>
  <c r="M134" i="1"/>
  <c r="M211" i="1" s="1"/>
  <c r="M212" i="1" s="1"/>
  <c r="I12" i="2"/>
  <c r="M326" i="2"/>
  <c r="K28" i="10" s="1"/>
  <c r="K25" i="10" s="1"/>
  <c r="V25" i="10" s="1"/>
  <c r="M377" i="2"/>
  <c r="K12" i="10" s="1"/>
  <c r="V12" i="10" s="1"/>
  <c r="M44" i="2"/>
  <c r="K8" i="10" s="1"/>
  <c r="V8" i="10" s="1"/>
  <c r="N90" i="1"/>
  <c r="N148" i="1" s="1"/>
  <c r="O45" i="10"/>
  <c r="O48" i="10" s="1"/>
  <c r="J30" i="1"/>
  <c r="M148" i="1"/>
  <c r="N118" i="1"/>
  <c r="D10" i="6"/>
  <c r="Z20" i="6" s="1"/>
  <c r="D11" i="3"/>
  <c r="K25" i="1"/>
  <c r="V19" i="10"/>
  <c r="M10" i="6"/>
  <c r="Z7" i="6" s="1"/>
  <c r="N45" i="10"/>
  <c r="N48" i="10" s="1"/>
  <c r="N212" i="1"/>
  <c r="O148" i="1"/>
  <c r="M105" i="1"/>
  <c r="M118" i="1"/>
  <c r="P48" i="10"/>
  <c r="D211" i="1"/>
  <c r="M96" i="1"/>
  <c r="L12" i="2"/>
  <c r="D335" i="2"/>
  <c r="D11" i="2" s="1"/>
  <c r="U14" i="1" s="1"/>
  <c r="U12" i="1" s="1"/>
  <c r="D87" i="1"/>
  <c r="L111" i="1"/>
  <c r="D45" i="2"/>
  <c r="D32" i="2"/>
  <c r="M194" i="1"/>
  <c r="C16" i="1"/>
  <c r="C47" i="1" s="1"/>
  <c r="C116" i="1" s="1"/>
  <c r="C117" i="1" s="1"/>
  <c r="K31" i="1"/>
  <c r="K48" i="1" s="1"/>
  <c r="K134" i="1" s="1"/>
  <c r="L115" i="1"/>
  <c r="L41" i="10"/>
  <c r="W42" i="1"/>
  <c r="I147" i="1"/>
  <c r="E95" i="1"/>
  <c r="E118" i="1"/>
  <c r="L92" i="1"/>
  <c r="D16" i="1"/>
  <c r="D47" i="1" s="1"/>
  <c r="D116" i="1" s="1"/>
  <c r="D117" i="1" s="1"/>
  <c r="L118" i="1"/>
  <c r="L89" i="1"/>
  <c r="M41" i="10"/>
  <c r="F45" i="10"/>
  <c r="F48" i="10" s="1"/>
  <c r="M132" i="1"/>
  <c r="C90" i="1"/>
  <c r="C148" i="1" s="1"/>
  <c r="D14" i="2"/>
  <c r="D13" i="2" s="1"/>
  <c r="D37" i="2"/>
  <c r="D36" i="2" s="1"/>
  <c r="E132" i="1"/>
  <c r="C132" i="1"/>
  <c r="C95" i="1"/>
  <c r="E90" i="1"/>
  <c r="E148" i="1" s="1"/>
  <c r="E16" i="1"/>
  <c r="E47" i="1" s="1"/>
  <c r="E116" i="1" s="1"/>
  <c r="E117" i="1" s="1"/>
  <c r="H31" i="1"/>
  <c r="H48" i="1" s="1"/>
  <c r="H134" i="1" s="1"/>
  <c r="J126" i="1"/>
  <c r="J187" i="1" s="1"/>
  <c r="U126" i="1"/>
  <c r="U187" i="1" s="1"/>
  <c r="L147" i="1"/>
  <c r="Z19" i="9"/>
  <c r="Z16" i="8"/>
  <c r="D244" i="6"/>
  <c r="U59" i="1"/>
  <c r="U58" i="1" s="1"/>
  <c r="L90" i="1"/>
  <c r="D45" i="10"/>
  <c r="D48" i="10" s="1"/>
  <c r="D132" i="1"/>
  <c r="D93" i="1"/>
  <c r="O212" i="1"/>
  <c r="L134" i="1"/>
  <c r="L196" i="1" s="1"/>
  <c r="C134" i="1"/>
  <c r="C196" i="1" s="1"/>
  <c r="D12" i="1"/>
  <c r="D106" i="1" s="1"/>
  <c r="F147" i="1"/>
  <c r="F209" i="1"/>
  <c r="W41" i="10"/>
  <c r="L58" i="1"/>
  <c r="J32" i="1"/>
  <c r="J137" i="1"/>
  <c r="J199" i="1" s="1"/>
  <c r="M20" i="3"/>
  <c r="M17" i="3" s="1"/>
  <c r="J97" i="1" s="1"/>
  <c r="U97" i="1" s="1"/>
  <c r="U91" i="1" s="1"/>
  <c r="J40" i="1"/>
  <c r="D20" i="3"/>
  <c r="D17" i="3" s="1"/>
  <c r="D123" i="3"/>
  <c r="D120" i="3" s="1"/>
  <c r="N96" i="1"/>
  <c r="E13" i="1"/>
  <c r="E12" i="1" s="1"/>
  <c r="E106" i="1" s="1"/>
  <c r="D13" i="4"/>
  <c r="K110" i="1"/>
  <c r="M44" i="10"/>
  <c r="U122" i="1"/>
  <c r="U184" i="1" s="1"/>
  <c r="L88" i="1"/>
  <c r="L87" i="1" s="1"/>
  <c r="L42" i="10"/>
  <c r="U123" i="1"/>
  <c r="U185" i="1" s="1"/>
  <c r="Z26" i="8"/>
  <c r="L121" i="1"/>
  <c r="K114" i="1"/>
  <c r="L12" i="1"/>
  <c r="J81" i="1"/>
  <c r="U82" i="1"/>
  <c r="U81" i="1" s="1"/>
  <c r="J74" i="1"/>
  <c r="J85" i="1" s="1"/>
  <c r="U85" i="1" s="1"/>
  <c r="J72" i="1"/>
  <c r="J62" i="1" s="1"/>
  <c r="U73" i="1"/>
  <c r="U72" i="1" s="1"/>
  <c r="J58" i="1"/>
  <c r="X58" i="1" s="1"/>
  <c r="L110" i="1"/>
  <c r="N93" i="1"/>
  <c r="I13" i="1"/>
  <c r="I12" i="1" s="1"/>
  <c r="I106" i="1" s="1"/>
  <c r="H147" i="1"/>
  <c r="H198" i="1"/>
  <c r="H209" i="1" s="1"/>
  <c r="V63" i="1"/>
  <c r="V62" i="1" s="1"/>
  <c r="L114" i="1"/>
  <c r="P182" i="1"/>
  <c r="P195" i="1"/>
  <c r="G10" i="10"/>
  <c r="G42" i="10" s="1"/>
  <c r="B97" i="1"/>
  <c r="B91" i="1" s="1"/>
  <c r="J144" i="1"/>
  <c r="K89" i="1"/>
  <c r="K87" i="1" s="1"/>
  <c r="K115" i="1"/>
  <c r="K12" i="1"/>
  <c r="K111" i="1"/>
  <c r="J121" i="1"/>
  <c r="J183" i="1" s="1"/>
  <c r="U121" i="1"/>
  <c r="U183" i="1" s="1"/>
  <c r="J17" i="1"/>
  <c r="X17" i="1" s="1"/>
  <c r="I115" i="1"/>
  <c r="I111" i="1"/>
  <c r="I89" i="1"/>
  <c r="M116" i="1"/>
  <c r="M120" i="1"/>
  <c r="M195" i="1" s="1"/>
  <c r="J127" i="1"/>
  <c r="J188" i="1" s="1"/>
  <c r="U28" i="1"/>
  <c r="W44" i="1" s="1"/>
  <c r="K96" i="1"/>
  <c r="G17" i="1"/>
  <c r="G16" i="1" s="1"/>
  <c r="G47" i="1" s="1"/>
  <c r="G121" i="1"/>
  <c r="B146" i="1"/>
  <c r="B40" i="1"/>
  <c r="B31" i="1" s="1"/>
  <c r="B48" i="1" s="1"/>
  <c r="F121" i="1"/>
  <c r="F17" i="1"/>
  <c r="F16" i="1" s="1"/>
  <c r="F47" i="1" s="1"/>
  <c r="U75" i="1"/>
  <c r="U74" i="1" s="1"/>
  <c r="U137" i="1"/>
  <c r="U199" i="1" s="1"/>
  <c r="O116" i="1"/>
  <c r="I131" i="1"/>
  <c r="I193" i="1" s="1"/>
  <c r="I25" i="1"/>
  <c r="H131" i="1"/>
  <c r="H193" i="1" s="1"/>
  <c r="H25" i="1"/>
  <c r="I17" i="1"/>
  <c r="I121" i="1"/>
  <c r="K147" i="1"/>
  <c r="K206" i="1"/>
  <c r="K209" i="1" s="1"/>
  <c r="I31" i="1"/>
  <c r="V28" i="10"/>
  <c r="K26" i="10"/>
  <c r="V26" i="10" s="1"/>
  <c r="V29" i="10"/>
  <c r="J89" i="1"/>
  <c r="E19" i="2"/>
  <c r="E12" i="2" s="1"/>
  <c r="B30" i="1"/>
  <c r="K17" i="1"/>
  <c r="K121" i="1"/>
  <c r="H121" i="1"/>
  <c r="H17" i="1"/>
  <c r="U63" i="1"/>
  <c r="G92" i="1"/>
  <c r="G96" i="1"/>
  <c r="G95" i="1" s="1"/>
  <c r="H92" i="1"/>
  <c r="F12" i="1"/>
  <c r="F106" i="1" s="1"/>
  <c r="F88" i="1"/>
  <c r="F87" i="1" s="1"/>
  <c r="H12" i="1"/>
  <c r="H106" i="1" s="1"/>
  <c r="H88" i="1"/>
  <c r="H87" i="1" s="1"/>
  <c r="B13" i="1"/>
  <c r="W14" i="1"/>
  <c r="M89" i="1"/>
  <c r="M115" i="1"/>
  <c r="M111" i="1"/>
  <c r="G134" i="1"/>
  <c r="G118" i="1"/>
  <c r="G90" i="1"/>
  <c r="G148" i="1" s="1"/>
  <c r="F96" i="1"/>
  <c r="F95" i="1" s="1"/>
  <c r="F91" i="1"/>
  <c r="B17" i="1"/>
  <c r="B121" i="1"/>
  <c r="E196" i="1"/>
  <c r="E211" i="1"/>
  <c r="K14" i="10"/>
  <c r="V14" i="10" s="1"/>
  <c r="F118" i="1"/>
  <c r="L95" i="1"/>
  <c r="M88" i="1"/>
  <c r="M110" i="1"/>
  <c r="M114" i="1"/>
  <c r="M12" i="1"/>
  <c r="N88" i="1"/>
  <c r="N87" i="1" s="1"/>
  <c r="N110" i="1"/>
  <c r="N114" i="1"/>
  <c r="N113" i="1" s="1"/>
  <c r="N12" i="1"/>
  <c r="G88" i="1"/>
  <c r="G87" i="1" s="1"/>
  <c r="G12" i="1"/>
  <c r="G106" i="1" s="1"/>
  <c r="V36" i="10"/>
  <c r="O88" i="1"/>
  <c r="O87" i="1" s="1"/>
  <c r="O110" i="1"/>
  <c r="O114" i="1"/>
  <c r="O113" i="1" s="1"/>
  <c r="O12" i="1"/>
  <c r="N182" i="1"/>
  <c r="C88" i="1"/>
  <c r="C87" i="1" s="1"/>
  <c r="C12" i="1"/>
  <c r="C106" i="1" s="1"/>
  <c r="J100" i="1"/>
  <c r="V123" i="1"/>
  <c r="V126" i="1"/>
  <c r="V60" i="1"/>
  <c r="V58" i="1" s="1"/>
  <c r="Z21" i="3"/>
  <c r="AB12" i="7"/>
  <c r="D115" i="3"/>
  <c r="D114" i="3" s="1"/>
  <c r="D9" i="3" s="1"/>
  <c r="K15" i="10"/>
  <c r="V15" i="10" s="1"/>
  <c r="D113" i="8"/>
  <c r="D23" i="8"/>
  <c r="Z15" i="8"/>
  <c r="M13" i="6"/>
  <c r="Z13" i="6" s="1"/>
  <c r="Z8" i="3"/>
  <c r="O44" i="10"/>
  <c r="O47" i="10" s="1"/>
  <c r="V17" i="1"/>
  <c r="V127" i="1"/>
  <c r="V25" i="1"/>
  <c r="Z33" i="8"/>
  <c r="E11" i="2"/>
  <c r="B14" i="1" s="1"/>
  <c r="B89" i="1" s="1"/>
  <c r="W38" i="1"/>
  <c r="W35" i="1"/>
  <c r="D11" i="9"/>
  <c r="M23" i="8"/>
  <c r="D75" i="2"/>
  <c r="D458" i="2"/>
  <c r="D433" i="2" s="1"/>
  <c r="L23" i="2"/>
  <c r="I98" i="1" s="1"/>
  <c r="D430" i="2"/>
  <c r="I41" i="10"/>
  <c r="Z43" i="2"/>
  <c r="G10" i="12"/>
  <c r="M19" i="2"/>
  <c r="D21" i="2"/>
  <c r="I9" i="2"/>
  <c r="Z40" i="2"/>
  <c r="M36" i="2"/>
  <c r="M430" i="2"/>
  <c r="D439" i="2"/>
  <c r="M30" i="2"/>
  <c r="M11" i="9"/>
  <c r="M9" i="8"/>
  <c r="M13" i="2"/>
  <c r="M12" i="2" s="1"/>
  <c r="M24" i="2"/>
  <c r="D10" i="8"/>
  <c r="D9" i="8" s="1"/>
  <c r="D18" i="8"/>
  <c r="D12" i="8" s="1"/>
  <c r="D99" i="8"/>
  <c r="M9" i="3"/>
  <c r="Z39" i="2"/>
  <c r="D26" i="2"/>
  <c r="D24" i="2" s="1"/>
  <c r="M369" i="2"/>
  <c r="K11" i="10" s="1"/>
  <c r="V11" i="10" s="1"/>
  <c r="D329" i="2"/>
  <c r="D326" i="2" s="1"/>
  <c r="D20" i="2"/>
  <c r="Z30" i="2" s="1"/>
  <c r="D33" i="2"/>
  <c r="Z32" i="2" s="1"/>
  <c r="D50" i="2"/>
  <c r="D369" i="2"/>
  <c r="J2" i="6"/>
  <c r="L9" i="2"/>
  <c r="N8" i="9"/>
  <c r="N9" i="2"/>
  <c r="N10" i="6"/>
  <c r="C20" i="10"/>
  <c r="K10" i="6"/>
  <c r="C41" i="10"/>
  <c r="O133" i="1" l="1"/>
  <c r="N133" i="1"/>
  <c r="F90" i="1"/>
  <c r="K95" i="1"/>
  <c r="D120" i="1"/>
  <c r="D182" i="1" s="1"/>
  <c r="J51" i="1"/>
  <c r="L120" i="1"/>
  <c r="L182" i="1" s="1"/>
  <c r="U50" i="1"/>
  <c r="N116" i="1"/>
  <c r="X72" i="1"/>
  <c r="Y72" i="1" s="1"/>
  <c r="Y73" i="1"/>
  <c r="Y59" i="1"/>
  <c r="Y58" i="1"/>
  <c r="J84" i="1"/>
  <c r="U84" i="1" s="1"/>
  <c r="X84" i="1" s="1"/>
  <c r="X62" i="1"/>
  <c r="Y28" i="1"/>
  <c r="K7" i="10"/>
  <c r="V7" i="10" s="1"/>
  <c r="V41" i="10" s="1"/>
  <c r="Y14" i="1"/>
  <c r="O96" i="1"/>
  <c r="J131" i="1"/>
  <c r="J193" i="1" s="1"/>
  <c r="J194" i="1" s="1"/>
  <c r="U30" i="1"/>
  <c r="X30" i="1"/>
  <c r="V47" i="1"/>
  <c r="D133" i="1"/>
  <c r="W13" i="1"/>
  <c r="O106" i="1"/>
  <c r="L106" i="1"/>
  <c r="N106" i="1"/>
  <c r="M106" i="1"/>
  <c r="K106" i="1"/>
  <c r="U62" i="1"/>
  <c r="Y62" i="1" s="1"/>
  <c r="Y63" i="1"/>
  <c r="Y17" i="1"/>
  <c r="U31" i="1"/>
  <c r="U48" i="1" s="1"/>
  <c r="U90" i="1" s="1"/>
  <c r="M95" i="1"/>
  <c r="M103" i="1"/>
  <c r="M196" i="1"/>
  <c r="K90" i="1"/>
  <c r="K93" i="1" s="1"/>
  <c r="K16" i="1"/>
  <c r="K47" i="1" s="1"/>
  <c r="K120" i="1" s="1"/>
  <c r="C120" i="1"/>
  <c r="C182" i="1" s="1"/>
  <c r="N103" i="1"/>
  <c r="J25" i="1"/>
  <c r="Z15" i="6"/>
  <c r="U136" i="1"/>
  <c r="U198" i="1" s="1"/>
  <c r="H95" i="1"/>
  <c r="K118" i="1"/>
  <c r="D195" i="1"/>
  <c r="N117" i="1"/>
  <c r="V42" i="10"/>
  <c r="L195" i="1"/>
  <c r="F148" i="1"/>
  <c r="C93" i="1"/>
  <c r="L211" i="1"/>
  <c r="L212" i="1" s="1"/>
  <c r="N95" i="1"/>
  <c r="L113" i="1"/>
  <c r="L117" i="1" s="1"/>
  <c r="E120" i="1"/>
  <c r="E182" i="1" s="1"/>
  <c r="E93" i="1"/>
  <c r="H90" i="1"/>
  <c r="H148" i="1" s="1"/>
  <c r="H211" i="1"/>
  <c r="H212" i="1" s="1"/>
  <c r="H196" i="1"/>
  <c r="C133" i="1"/>
  <c r="E88" i="1"/>
  <c r="E87" i="1" s="1"/>
  <c r="E133" i="1" s="1"/>
  <c r="O117" i="1"/>
  <c r="C211" i="1"/>
  <c r="K113" i="1"/>
  <c r="H118" i="1"/>
  <c r="L148" i="1"/>
  <c r="J31" i="1"/>
  <c r="J48" i="1" s="1"/>
  <c r="J13" i="1"/>
  <c r="M182" i="1"/>
  <c r="L103" i="1"/>
  <c r="L93" i="1"/>
  <c r="J146" i="1"/>
  <c r="J208" i="1" s="1"/>
  <c r="L105" i="1"/>
  <c r="H16" i="1"/>
  <c r="H47" i="1" s="1"/>
  <c r="I44" i="10" s="1"/>
  <c r="I47" i="10" s="1"/>
  <c r="J132" i="1"/>
  <c r="M87" i="1"/>
  <c r="B208" i="1"/>
  <c r="B209" i="1" s="1"/>
  <c r="B147" i="1"/>
  <c r="U146" i="1"/>
  <c r="U208" i="1" s="1"/>
  <c r="M113" i="1"/>
  <c r="M117" i="1" s="1"/>
  <c r="B96" i="1"/>
  <c r="B95" i="1" s="1"/>
  <c r="L132" i="1"/>
  <c r="L133" i="1" s="1"/>
  <c r="L183" i="1"/>
  <c r="L194" i="1" s="1"/>
  <c r="I88" i="1"/>
  <c r="I87" i="1" s="1"/>
  <c r="I114" i="1"/>
  <c r="I113" i="1" s="1"/>
  <c r="I110" i="1"/>
  <c r="V132" i="1"/>
  <c r="U115" i="1"/>
  <c r="U89" i="1"/>
  <c r="K211" i="1"/>
  <c r="K212" i="1" s="1"/>
  <c r="K196" i="1"/>
  <c r="H132" i="1"/>
  <c r="H183" i="1"/>
  <c r="H194" i="1" s="1"/>
  <c r="K116" i="1"/>
  <c r="B131" i="1"/>
  <c r="B193" i="1" s="1"/>
  <c r="B25" i="1"/>
  <c r="B16" i="1" s="1"/>
  <c r="B47" i="1" s="1"/>
  <c r="I132" i="1"/>
  <c r="I183" i="1"/>
  <c r="I194" i="1" s="1"/>
  <c r="O182" i="1"/>
  <c r="O195" i="1"/>
  <c r="F120" i="1"/>
  <c r="F116" i="1"/>
  <c r="B134" i="1"/>
  <c r="B118" i="1"/>
  <c r="B90" i="1"/>
  <c r="G132" i="1"/>
  <c r="G133" i="1" s="1"/>
  <c r="G183" i="1"/>
  <c r="G194" i="1" s="1"/>
  <c r="I92" i="1"/>
  <c r="I96" i="1"/>
  <c r="I95" i="1" s="1"/>
  <c r="H133" i="1"/>
  <c r="K132" i="1"/>
  <c r="K133" i="1" s="1"/>
  <c r="K183" i="1"/>
  <c r="K194" i="1" s="1"/>
  <c r="I48" i="1"/>
  <c r="J45" i="10" s="1"/>
  <c r="J48" i="10" s="1"/>
  <c r="K148" i="1"/>
  <c r="I16" i="1"/>
  <c r="I47" i="1" s="1"/>
  <c r="J44" i="10" s="1"/>
  <c r="J47" i="10" s="1"/>
  <c r="F183" i="1"/>
  <c r="F194" i="1" s="1"/>
  <c r="F132" i="1"/>
  <c r="F133" i="1" s="1"/>
  <c r="G120" i="1"/>
  <c r="G116" i="1"/>
  <c r="U127" i="1"/>
  <c r="U188" i="1" s="1"/>
  <c r="U25" i="1"/>
  <c r="U144" i="1"/>
  <c r="J206" i="1"/>
  <c r="J91" i="1"/>
  <c r="B183" i="1"/>
  <c r="F93" i="1"/>
  <c r="G196" i="1"/>
  <c r="G211" i="1"/>
  <c r="G212" i="1" s="1"/>
  <c r="K41" i="10"/>
  <c r="F211" i="1"/>
  <c r="F196" i="1"/>
  <c r="K42" i="10"/>
  <c r="B12" i="1"/>
  <c r="B106" i="1" s="1"/>
  <c r="B88" i="1"/>
  <c r="B87" i="1" s="1"/>
  <c r="G93" i="1"/>
  <c r="D10" i="5"/>
  <c r="J99" i="1"/>
  <c r="U100" i="1"/>
  <c r="V16" i="1"/>
  <c r="V89" i="1"/>
  <c r="V88" i="1"/>
  <c r="P44" i="10"/>
  <c r="P47" i="10" s="1"/>
  <c r="D9" i="2"/>
  <c r="V120" i="1"/>
  <c r="D8" i="3"/>
  <c r="N44" i="10"/>
  <c r="N47" i="10" s="1"/>
  <c r="E9" i="2"/>
  <c r="W33" i="1"/>
  <c r="W77" i="1"/>
  <c r="W37" i="1"/>
  <c r="W43" i="1"/>
  <c r="W124" i="1"/>
  <c r="D30" i="2"/>
  <c r="D23" i="2" s="1"/>
  <c r="H44" i="10"/>
  <c r="H47" i="10" s="1"/>
  <c r="E44" i="10"/>
  <c r="E47" i="10" s="1"/>
  <c r="D19" i="2"/>
  <c r="D12" i="2" s="1"/>
  <c r="M23" i="2"/>
  <c r="J98" i="1" s="1"/>
  <c r="U98" i="1" s="1"/>
  <c r="U92" i="1" s="1"/>
  <c r="G44" i="10"/>
  <c r="G47" i="10" s="1"/>
  <c r="D44" i="10"/>
  <c r="D47" i="10" s="1"/>
  <c r="M9" i="2"/>
  <c r="F44" i="10"/>
  <c r="F47" i="10" s="1"/>
  <c r="W36" i="1"/>
  <c r="M8" i="3"/>
  <c r="D44" i="2"/>
  <c r="C42" i="10"/>
  <c r="I45" i="10"/>
  <c r="I48" i="10" s="1"/>
  <c r="L44" i="10"/>
  <c r="L47" i="10" s="1"/>
  <c r="L45" i="10"/>
  <c r="L48" i="10" s="1"/>
  <c r="C45" i="10"/>
  <c r="H45" i="10"/>
  <c r="H48" i="10" s="1"/>
  <c r="H40" i="12"/>
  <c r="M133" i="1" l="1"/>
  <c r="J105" i="1"/>
  <c r="U105" i="1"/>
  <c r="K103" i="1"/>
  <c r="E195" i="1"/>
  <c r="H93" i="1"/>
  <c r="W90" i="1"/>
  <c r="W91" i="1" s="1"/>
  <c r="O103" i="1"/>
  <c r="O95" i="1"/>
  <c r="J16" i="1"/>
  <c r="X16" i="1" s="1"/>
  <c r="X25" i="1"/>
  <c r="Y25" i="1" s="1"/>
  <c r="U16" i="1"/>
  <c r="U47" i="1" s="1"/>
  <c r="W45" i="1"/>
  <c r="U131" i="1"/>
  <c r="U193" i="1" s="1"/>
  <c r="U194" i="1" s="1"/>
  <c r="Y30" i="1"/>
  <c r="J47" i="1"/>
  <c r="W47" i="1" s="1"/>
  <c r="W49" i="1" s="1"/>
  <c r="J88" i="1"/>
  <c r="J87" i="1" s="1"/>
  <c r="J133" i="1" s="1"/>
  <c r="X13" i="1"/>
  <c r="Y13" i="1" s="1"/>
  <c r="W44" i="10"/>
  <c r="W47" i="10" s="1"/>
  <c r="C195" i="1"/>
  <c r="K117" i="1"/>
  <c r="B120" i="1"/>
  <c r="B182" i="1" s="1"/>
  <c r="B116" i="1"/>
  <c r="J12" i="1"/>
  <c r="J209" i="1"/>
  <c r="H116" i="1"/>
  <c r="B194" i="1"/>
  <c r="J147" i="1"/>
  <c r="H120" i="1"/>
  <c r="H182" i="1" s="1"/>
  <c r="B132" i="1"/>
  <c r="B133" i="1" s="1"/>
  <c r="V87" i="1"/>
  <c r="I133" i="1"/>
  <c r="J92" i="1"/>
  <c r="J96" i="1"/>
  <c r="J95" i="1" s="1"/>
  <c r="I120" i="1"/>
  <c r="I116" i="1"/>
  <c r="I117" i="1" s="1"/>
  <c r="I90" i="1"/>
  <c r="I134" i="1"/>
  <c r="I118" i="1"/>
  <c r="B148" i="1"/>
  <c r="B93" i="1"/>
  <c r="B211" i="1"/>
  <c r="B196" i="1"/>
  <c r="F195" i="1"/>
  <c r="F182" i="1"/>
  <c r="U147" i="1"/>
  <c r="U206" i="1"/>
  <c r="G195" i="1"/>
  <c r="G182" i="1"/>
  <c r="K182" i="1"/>
  <c r="K195" i="1"/>
  <c r="J134" i="1"/>
  <c r="J90" i="1"/>
  <c r="U88" i="1"/>
  <c r="U87" i="1" s="1"/>
  <c r="U114" i="1"/>
  <c r="U113" i="1" s="1"/>
  <c r="U106" i="1"/>
  <c r="U99" i="1"/>
  <c r="M47" i="10"/>
  <c r="C44" i="10"/>
  <c r="G45" i="10"/>
  <c r="G48" i="10" s="1"/>
  <c r="D42" i="12"/>
  <c r="M45" i="10"/>
  <c r="M48" i="10" s="1"/>
  <c r="C48" i="10"/>
  <c r="C47" i="10"/>
  <c r="B195" i="1" l="1"/>
  <c r="J120" i="1"/>
  <c r="J195" i="1" s="1"/>
  <c r="K44" i="10"/>
  <c r="K47" i="10" s="1"/>
  <c r="Y16" i="1"/>
  <c r="U132" i="1"/>
  <c r="U133" i="1" s="1"/>
  <c r="X47" i="1"/>
  <c r="J106" i="1"/>
  <c r="X15" i="1"/>
  <c r="Y15" i="1" s="1"/>
  <c r="X12" i="1"/>
  <c r="Y12" i="1" s="1"/>
  <c r="V44" i="10"/>
  <c r="U118" i="1"/>
  <c r="H195" i="1"/>
  <c r="U134" i="1"/>
  <c r="U211" i="1" s="1"/>
  <c r="J93" i="1"/>
  <c r="U96" i="1"/>
  <c r="U196" i="1"/>
  <c r="U209" i="1"/>
  <c r="I93" i="1"/>
  <c r="I148" i="1"/>
  <c r="I195" i="1"/>
  <c r="I182" i="1"/>
  <c r="I211" i="1"/>
  <c r="I212" i="1" s="1"/>
  <c r="I196" i="1"/>
  <c r="J196" i="1"/>
  <c r="J211" i="1"/>
  <c r="J212" i="1" s="1"/>
  <c r="J148" i="1"/>
  <c r="J103" i="1"/>
  <c r="V193" i="1"/>
  <c r="K45" i="10"/>
  <c r="K48" i="10" s="1"/>
  <c r="D44" i="12"/>
  <c r="H42" i="12"/>
  <c r="D43" i="12"/>
  <c r="H41" i="12"/>
  <c r="J182" i="1" l="1"/>
  <c r="U120" i="1"/>
  <c r="U195" i="1" s="1"/>
  <c r="U116" i="1"/>
  <c r="U117" i="1" s="1"/>
  <c r="W92" i="1"/>
  <c r="U95" i="1"/>
  <c r="U93" i="1"/>
  <c r="U148" i="1"/>
  <c r="U212" i="1"/>
  <c r="AA193" i="1"/>
  <c r="V47" i="10"/>
  <c r="D45" i="12"/>
  <c r="H43" i="12"/>
  <c r="D46" i="12"/>
  <c r="H44" i="12"/>
  <c r="U182" i="1" l="1"/>
  <c r="X49" i="1"/>
  <c r="V45" i="10"/>
  <c r="V48" i="10" s="1"/>
  <c r="D48" i="12"/>
  <c r="H46" i="12"/>
  <c r="D47" i="12"/>
  <c r="H45" i="12"/>
  <c r="D49" i="12" l="1"/>
  <c r="H47" i="12"/>
  <c r="D50" i="12"/>
  <c r="H48" i="12"/>
  <c r="D52" i="12" l="1"/>
  <c r="H50" i="12"/>
  <c r="D51" i="12"/>
  <c r="H49" i="12"/>
  <c r="D53" i="12" l="1"/>
  <c r="H51" i="12"/>
  <c r="D54" i="12"/>
  <c r="H52" i="12"/>
  <c r="D56" i="12" l="1"/>
  <c r="H54" i="12"/>
  <c r="D55" i="12"/>
  <c r="H53" i="12"/>
  <c r="D57" i="12" l="1"/>
  <c r="H55" i="12"/>
  <c r="D58" i="12"/>
  <c r="H56" i="12"/>
  <c r="H58" i="12" l="1"/>
  <c r="D59" i="12"/>
  <c r="E66" i="12" s="1"/>
  <c r="E67" i="12" s="1"/>
  <c r="H57" i="12"/>
  <c r="H61" i="12" l="1"/>
  <c r="H59" i="12"/>
  <c r="H60" i="12"/>
  <c r="H62" i="12" l="1"/>
  <c r="D223" i="6"/>
</calcChain>
</file>

<file path=xl/comments1.xml><?xml version="1.0" encoding="utf-8"?>
<comments xmlns="http://schemas.openxmlformats.org/spreadsheetml/2006/main">
  <authors>
    <author xml:space="preserve"> Wioletta Stachera</author>
  </authors>
  <commentList>
    <comment ref="K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  <comment ref="K5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czerwona kolumna do usunięcia po pobraniu danych</t>
        </r>
      </text>
    </comment>
  </commentList>
</comments>
</file>

<file path=xl/comments2.xml><?xml version="1.0" encoding="utf-8"?>
<comments xmlns="http://schemas.openxmlformats.org/spreadsheetml/2006/main">
  <authors>
    <author>WStachera</author>
    <author>Magdalena Szczerba</author>
  </authors>
  <commentList>
    <comment ref="J3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J42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od 2011 r. kontynuacja projektu</t>
        </r>
      </text>
    </comment>
    <comment ref="I114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14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2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26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3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38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  <comment ref="I150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21.176 zł</t>
        </r>
      </text>
    </comment>
    <comment ref="J150" authorId="1">
      <text>
        <r>
          <rPr>
            <b/>
            <sz val="8"/>
            <color indexed="81"/>
            <rFont val="Tahoma"/>
            <family val="2"/>
            <charset val="238"/>
          </rPr>
          <t>Magdalena Szczerba:</t>
        </r>
        <r>
          <rPr>
            <sz val="8"/>
            <color indexed="81"/>
            <rFont val="Tahoma"/>
            <family val="2"/>
            <charset val="238"/>
          </rPr>
          <t xml:space="preserve">
w tym zakupy inwest. 39.312 zł
</t>
        </r>
      </text>
    </comment>
  </commentList>
</comments>
</file>

<file path=xl/comments3.xml><?xml version="1.0" encoding="utf-8"?>
<comments xmlns="http://schemas.openxmlformats.org/spreadsheetml/2006/main">
  <authors>
    <author xml:space="preserve"> Wioletta Stachera</author>
  </authors>
  <commentList>
    <comment ref="P25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 Wioletta Stachera:</t>
        </r>
        <r>
          <rPr>
            <sz val="9"/>
            <color indexed="81"/>
            <rFont val="Tahoma"/>
            <family val="2"/>
            <charset val="238"/>
          </rPr>
          <t xml:space="preserve">
kwota 8.150 do usunięcia
</t>
        </r>
      </text>
    </comment>
  </commentList>
</comments>
</file>

<file path=xl/comments4.xml><?xml version="1.0" encoding="utf-8"?>
<comments xmlns="http://schemas.openxmlformats.org/spreadsheetml/2006/main">
  <authors>
    <author>WStachera</author>
  </authors>
  <commentList>
    <comment ref="I106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I108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latach 2010 - 2013 podatek VAT niekwalifikowalny (bez refundacji po stronie dochodów)</t>
        </r>
      </text>
    </comment>
    <comment ref="I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  <comment ref="M121" authorId="0">
      <text>
        <r>
          <rPr>
            <b/>
            <sz val="8"/>
            <color indexed="81"/>
            <rFont val="Tahoma"/>
            <family val="2"/>
            <charset val="238"/>
          </rPr>
          <t>WStachera:</t>
        </r>
        <r>
          <rPr>
            <sz val="8"/>
            <color indexed="81"/>
            <rFont val="Tahoma"/>
            <family val="2"/>
            <charset val="238"/>
          </rPr>
          <t xml:space="preserve">
w tym zakupy inwestycyjne 59.320 zł</t>
        </r>
      </text>
    </comment>
  </commentList>
</comments>
</file>

<file path=xl/sharedStrings.xml><?xml version="1.0" encoding="utf-8"?>
<sst xmlns="http://schemas.openxmlformats.org/spreadsheetml/2006/main" count="3397" uniqueCount="624">
  <si>
    <r>
      <t xml:space="preserve">Tabela Nr 6  </t>
    </r>
    <r>
      <rPr>
        <i/>
        <sz val="12"/>
        <color indexed="8"/>
        <rFont val="Arial CE"/>
        <charset val="238"/>
      </rPr>
      <t xml:space="preserve">do załącznika Nr 3 </t>
    </r>
  </si>
  <si>
    <t>ZESTAWIENIE DOCHODÓW I WYDATKÓW  PLANOWANYCH  NA  PRZEDSIĘWZIĘCIA FINANSOWANE
 ZE ŚRODKÓW WŁASNYCH ORAZ PRZY WSPÓŁUDZIALE ŚRODKÓW, O KTÓRYCH MOWA W ART. 5 UST. 1 PKT 2 I 3 UFP, WG  ŹRÓDEŁ FINANSOWANIA</t>
  </si>
  <si>
    <t>1. ZBIORCZE ZESTAWIENIE DOCHODÓW I WYDATKÓW PRZEDSIĘWZIĘĆ FINANSOWANYCH  PRZY WSPÓŁUDZIALE ŚRODKÓW, O KTÓRYCH MOWA W ART. 5 UST. 1 PKT 2 I 3 UFP  WG ŹRÓDEŁ FINANSOWANIA</t>
  </si>
  <si>
    <t>Zrealizowane nakłady/uzyskane dochody</t>
  </si>
  <si>
    <t>Razem 
w latach planu</t>
  </si>
  <si>
    <t>Wyszczególnienie</t>
  </si>
  <si>
    <t>do 2009 r.</t>
  </si>
  <si>
    <t>2007 r.</t>
  </si>
  <si>
    <t>2008 r.</t>
  </si>
  <si>
    <t>2009 r.</t>
  </si>
  <si>
    <t>2010 r.</t>
  </si>
  <si>
    <t>2011 r.</t>
  </si>
  <si>
    <t>2012 r.</t>
  </si>
  <si>
    <t>2013 r.</t>
  </si>
  <si>
    <t>2014 r.</t>
  </si>
  <si>
    <t>2015 r.</t>
  </si>
  <si>
    <t>2016 r.</t>
  </si>
  <si>
    <t>2017 r.</t>
  </si>
  <si>
    <t>2018 r.</t>
  </si>
  <si>
    <t>Wydatki budżetu ogółem, z tego:</t>
  </si>
  <si>
    <t xml:space="preserve"> - wydatki  bieżące </t>
  </si>
  <si>
    <t xml:space="preserve"> - wydatki majątkowe</t>
  </si>
  <si>
    <t>Wydatki ogółem, z tego:</t>
  </si>
  <si>
    <t>środki z budżetu krajowego, z tego:</t>
  </si>
  <si>
    <t>środki z budżetu województwa</t>
  </si>
  <si>
    <t>dotacje celowe z budżetu państwa</t>
  </si>
  <si>
    <t xml:space="preserve">dotacje z budżetu państwa na zadania zlecone </t>
  </si>
  <si>
    <t>dotacje celowe od innych jst</t>
  </si>
  <si>
    <t xml:space="preserve">środki z funduszy </t>
  </si>
  <si>
    <t>dotacje z budżetu państwa - kontrakt wojewódzki</t>
  </si>
  <si>
    <t>środki z budżetu UE, z tego:</t>
  </si>
  <si>
    <t xml:space="preserve">środki z innych źródeł </t>
  </si>
  <si>
    <t>środki z Unii Europejskiej</t>
  </si>
  <si>
    <t>dotacje celowe / płatności z UE</t>
  </si>
  <si>
    <t>Dochody ogółem, z tego:</t>
  </si>
  <si>
    <t>X</t>
  </si>
  <si>
    <t xml:space="preserve">środki z budżetu krajowego, z tego: </t>
  </si>
  <si>
    <t xml:space="preserve">środki na wkład własny krajowy </t>
  </si>
  <si>
    <t>środki na dofinansowanie własnych inwestycji pozyskane z innych źródeł</t>
  </si>
  <si>
    <t>Wydatki z budżetu województwa ogółem</t>
  </si>
  <si>
    <t>Dochody budżetu województwa ogółem</t>
  </si>
  <si>
    <t>2. ZBIORCZE  ZESTAWIENIE DOCHODÓW I WYDATKÓW  POZOSTAŁYCH  PRZEDSIĘWZIĘĆ  WG  ŹRÓDEŁ FINANSOWANIA</t>
  </si>
  <si>
    <r>
      <t xml:space="preserve"> - wydatki bieżące</t>
    </r>
    <r>
      <rPr>
        <b/>
        <sz val="12"/>
        <color indexed="8"/>
        <rFont val="Arial CE"/>
        <charset val="238"/>
      </rPr>
      <t xml:space="preserve"> </t>
    </r>
  </si>
  <si>
    <t xml:space="preserve"> - wydatki majątkowe </t>
  </si>
  <si>
    <t>środki z budżetu województwa *</t>
  </si>
  <si>
    <t>środki własne jos (poza budżetem)</t>
  </si>
  <si>
    <t>dotacja z budżetu województwa (m.in. dla jos)</t>
  </si>
  <si>
    <t>dotacje celowe z budżetu państwa (poza budżetem)</t>
  </si>
  <si>
    <t>dotacje celowe / płatności z UE (poza budżetem)</t>
  </si>
  <si>
    <t>VAT niekwalifikowalny we WPROW</t>
  </si>
  <si>
    <t>RAZEM WYDATKI BUDŻETU WOJEWÓDZTWA</t>
  </si>
  <si>
    <t xml:space="preserve"> - WYDATKI BIEŻĄCE </t>
  </si>
  <si>
    <t xml:space="preserve"> - WYDATKI MAJĄTKOWE</t>
  </si>
  <si>
    <t>RAZEM DOCHODY BUDŻETU WOJEWÓDZTWA</t>
  </si>
  <si>
    <t xml:space="preserve"> - DOCHODY BIEŻĄCE</t>
  </si>
  <si>
    <t xml:space="preserve"> - DOCHODY MAJĄTKOWE</t>
  </si>
  <si>
    <t>sprawdzenie</t>
  </si>
  <si>
    <t>Część I - UE</t>
  </si>
  <si>
    <t>DOCHODY BUDŻETU WOJEWÓDZTWA -RAZEM</t>
  </si>
  <si>
    <t xml:space="preserve"> - DOCHODY BIEĄŻCE</t>
  </si>
  <si>
    <t>Część II - POZOSTAŁE</t>
  </si>
  <si>
    <t>Razem</t>
  </si>
  <si>
    <t>Soprawdzenie z PlanemB i Bestią (bez pozabudżetowych)</t>
  </si>
  <si>
    <t>sprawdzenie   wydatki</t>
  </si>
  <si>
    <t>sprawdzenie    DOCHODY</t>
  </si>
  <si>
    <t xml:space="preserve">środki z budżetu województwa </t>
  </si>
  <si>
    <t>dotacje celowe dla jos</t>
  </si>
  <si>
    <t>dotacje z budżetu państwa na zadania zlecone - wkład własny</t>
  </si>
  <si>
    <t>środki z funduszy celowych</t>
  </si>
  <si>
    <t>dotacje z budżetu państwa na zadania zlecone -wkład unijny</t>
  </si>
  <si>
    <t>środki na wkład własny krajowy</t>
  </si>
  <si>
    <t>dotacje z budżetu państwa na zadania zlecone (WK)</t>
  </si>
  <si>
    <t>dotacje z budżetu państwa na zadania zlecone (WE)</t>
  </si>
  <si>
    <t>dotacje z budżetu państwa na zadania zlecone  (WK)</t>
  </si>
  <si>
    <t>dotacje z budżetu państwa na zadania zlecone  (WE)</t>
  </si>
  <si>
    <t xml:space="preserve">ZMIANY WYDATKI </t>
  </si>
  <si>
    <t xml:space="preserve">ZMIANY DOCHODY </t>
  </si>
  <si>
    <t>x</t>
  </si>
  <si>
    <t>środki z funduszy</t>
  </si>
  <si>
    <t>1.</t>
  </si>
  <si>
    <t>2.</t>
  </si>
  <si>
    <t>3.</t>
  </si>
  <si>
    <t>4.</t>
  </si>
  <si>
    <t>5.</t>
  </si>
  <si>
    <t xml:space="preserve"> </t>
  </si>
  <si>
    <t>Koncepcja obejścia m Gryfice w ciągu drogi woj. Nr 105 (zachodnie obejscie Gryfic  
w powiązaniu  z drogą  nr 110, drogami gminnymi i powiatowymi)</t>
  </si>
  <si>
    <r>
      <t xml:space="preserve">Tabela Nr 6A  </t>
    </r>
    <r>
      <rPr>
        <i/>
        <sz val="12"/>
        <rFont val="Arial CE"/>
        <charset val="238"/>
      </rPr>
      <t>do Załącznika Nr 3</t>
    </r>
  </si>
  <si>
    <t>Klasyfikacja budżetowa</t>
  </si>
  <si>
    <t>Planowana wartość kosztorysowa zadania / planowane dochody uzyskane na realizację zadania</t>
  </si>
  <si>
    <t xml:space="preserve">Jednostka organizacyjna odpowiedzialna
za realizację </t>
  </si>
  <si>
    <t>Lp</t>
  </si>
  <si>
    <t>Nazwa zadania 
(Lokalizacja)</t>
  </si>
  <si>
    <t>Wydatki z budżetu ogółem, z tego:</t>
  </si>
  <si>
    <t xml:space="preserve"> - wydatki bieżące</t>
  </si>
  <si>
    <t xml:space="preserve">dotacje celowe z budżetu państwa </t>
  </si>
  <si>
    <t>środki z innych źródeł</t>
  </si>
  <si>
    <t>środki na dofinansowanie inwestycji pozyskane z innych źródeł</t>
  </si>
  <si>
    <t>I</t>
  </si>
  <si>
    <t>majątkowe</t>
  </si>
  <si>
    <t>KONTRAKT</t>
  </si>
  <si>
    <t xml:space="preserve">ZZDW w Koszalinie
</t>
  </si>
  <si>
    <t>rozdz. 60013</t>
  </si>
  <si>
    <t>rozdz. 75861</t>
  </si>
  <si>
    <t>ZZDW / WIiT
w ramach RPO</t>
  </si>
  <si>
    <t>ZZDW w Koszalinie</t>
  </si>
  <si>
    <t>7.</t>
  </si>
  <si>
    <t>8.</t>
  </si>
  <si>
    <t>9.</t>
  </si>
  <si>
    <t>Budowa obejścia m. Darłowo w ciągu drogi nr 203 w ramach Osi II RPO (2011-2014)</t>
  </si>
  <si>
    <t>10.</t>
  </si>
  <si>
    <t>11.</t>
  </si>
  <si>
    <t>12.</t>
  </si>
  <si>
    <t>13.</t>
  </si>
  <si>
    <t>14.</t>
  </si>
  <si>
    <t>Przebudowa drogi woj. nr 163 na odcinku Czaplinek - Wałcz  (etap II i III) w ramach Osi II RPO (2008-2015)</t>
  </si>
  <si>
    <t>15.</t>
  </si>
  <si>
    <t>16.</t>
  </si>
  <si>
    <t>17.</t>
  </si>
  <si>
    <t xml:space="preserve">środki z budżetu UE, z tego: </t>
  </si>
  <si>
    <t>rozdz. 60001</t>
  </si>
  <si>
    <t>18.</t>
  </si>
  <si>
    <t>środki z budżetu UE, w tego:</t>
  </si>
  <si>
    <t>ZZDWw Koszalinie</t>
  </si>
  <si>
    <t>WIiT</t>
  </si>
  <si>
    <t>PROJEKTY  REALIZOWANE  W  RAMACH PO INFRASTRUKTURA I ŚRODOWISKO</t>
  </si>
  <si>
    <t>20.</t>
  </si>
  <si>
    <t xml:space="preserve">WIiT </t>
  </si>
  <si>
    <t>środki z funduszy celowych - Fundusz Kolejowy</t>
  </si>
  <si>
    <t xml:space="preserve">dotacje celowe z budzetu państwa </t>
  </si>
  <si>
    <t>pozostałe środki</t>
  </si>
  <si>
    <t>Promocja taboru kolejowego zakupionego w ramach PO IiŚ (2014-2015)</t>
  </si>
  <si>
    <t>bieżące</t>
  </si>
  <si>
    <t>WWT</t>
  </si>
  <si>
    <t>rozdz. 60095</t>
  </si>
  <si>
    <t>rodz. 60095</t>
  </si>
  <si>
    <t>II. POZOSTAŁE  PRZEDSIĘWZIĘCIA W ZAKRESIE TRANSPORTU I ŁĄCZNOŚCI</t>
  </si>
  <si>
    <t>Utrzymanie i naprawy pojazdów szynowych Województwa (2015 -2018)</t>
  </si>
  <si>
    <t>dotacja celowa od innych jst</t>
  </si>
  <si>
    <t>Dokumentacje techniczne na zadania drogowe (2011-2018)</t>
  </si>
  <si>
    <t>Przebudowa i rozbudowa przejścia drogowego przez m. Gryfino na drodze woj. Nr 120  (2011-2013)</t>
  </si>
  <si>
    <t>6.</t>
  </si>
  <si>
    <t>Przebudowa i rozbudowa przejścia drogowego przez m. Tanowo na drodze woj. Nr 115 (2010-2014)</t>
  </si>
  <si>
    <t>Zimowe utrzymanie dróg (2011-2018)</t>
  </si>
  <si>
    <t>Obsługa i utrzymanie mostów zwodzonych i mostu granicznego (2011-2018)</t>
  </si>
  <si>
    <t>Monitoring i analizy porealizacyjne inwestycji (2013-2018)</t>
  </si>
  <si>
    <r>
      <t xml:space="preserve">Tabela Nr 6B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</si>
  <si>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 W ZAKRESIE POLITYKI  SPOŁECZNEJ  I  ROZWOJU  PRZEDSIĘBIORCZOŚCI</t>
  </si>
  <si>
    <t>Planowana wartość kosztorysowa zadania / dochody uzyskane na realizację zadania</t>
  </si>
  <si>
    <t>3</t>
  </si>
  <si>
    <t>4</t>
  </si>
  <si>
    <t>5</t>
  </si>
  <si>
    <t>6</t>
  </si>
  <si>
    <t>7</t>
  </si>
  <si>
    <t>8</t>
  </si>
  <si>
    <t>9</t>
  </si>
  <si>
    <t>Piramida kompetencji - II edycja w ramach działania 6.1. PO KL (2013-2015)</t>
  </si>
  <si>
    <t>Wojewódzki Urząd Pracy w Szczecinie</t>
  </si>
  <si>
    <t>rozdz.
 85395</t>
  </si>
  <si>
    <t>rozdz. 
75862</t>
  </si>
  <si>
    <t>Profesjonalne kadry - lepsze jutro II w ramach działania 7.1 PO KL (2012-2015)</t>
  </si>
  <si>
    <t>Regionalny Ośrodek Polityki Społecznej</t>
  </si>
  <si>
    <t>rozdz. 
85395</t>
  </si>
  <si>
    <t>rozdz. 
15013</t>
  </si>
  <si>
    <t>Inwestycja w wiedzę motorem rozwoju innowacyjności w regionie w ramach działania 8.2 PO KL - III edycja (2013-2015)</t>
  </si>
  <si>
    <t>Zachodniopomorskie talenty - regionalny system stypendialny - IV edycja w ramach działania 9.1 PO KL  (2013-2015)</t>
  </si>
  <si>
    <t>rozdz.
 75862</t>
  </si>
  <si>
    <t>Najlepszy w zawodzie w ramach działania 9.2 PO KL  (2014-2015)</t>
  </si>
  <si>
    <t>rozdz. 
85332</t>
  </si>
  <si>
    <t>Priorytet: X. Pomoc Techniczna w ramach  PO KL (2007-2015)</t>
  </si>
  <si>
    <t>Sieć Centrów Obsługi Inwestorów i Eksporterów w ramach PO Innowacyjna Gospodarka, Priorytet VI, Działanie 6.2, Poddziałanie 6.2.1 (2010-2015)</t>
  </si>
  <si>
    <t>Centrum Obsługi Inwestorów i Eksporterów</t>
  </si>
  <si>
    <t>rozdz. 
15011</t>
  </si>
  <si>
    <t>Wzrost atrakcyjności inwestycyjnej Województwa Zachodniopomorskiego - Promocja walorów inwestycyjnych Województwa Zachodniopomorskiego  - etap I i II  w ramach RPO WZ, Oś priorytetowa 1, Działanie 1.3, Poddziałanie 1.3.3, schemat C (2012-2015)</t>
  </si>
  <si>
    <t>rozdz. 
75861</t>
  </si>
  <si>
    <t>Wydział Współpracy Terytorialnej</t>
  </si>
  <si>
    <t>dotacja z budżetu województwa dla jos</t>
  </si>
  <si>
    <t>dotacje celowe od innych jst (pomoc finansowa i porozumienia)</t>
  </si>
  <si>
    <t>Wojewódzki Szpital Zespolony w Szczecinie 
pod nadzorem Wydziału Zdrowia</t>
  </si>
  <si>
    <t>rozdz. 85111</t>
  </si>
  <si>
    <t>środki własne jos</t>
  </si>
  <si>
    <t>Specjalistyczny Szpital im. A. Sokołowskiego 
w Szczecinie - Zdunowo 
pod nadzorem Wydziału Zdrowia i Wydziału Zarządzania Strategicznego</t>
  </si>
  <si>
    <t>Rozbudowa Szpitala Dziecięcego SPS ZOZ "Zdroje" w Szczecinie - utworzenie Zachodniopomorskiego Centrum Opieki Nad Kobietą i Dzieckiem (2010-2016)</t>
  </si>
  <si>
    <t>SPS ZOZ ZDROJE Szczecin 
pod nadzorem Wydziału Zdrowia</t>
  </si>
  <si>
    <t>dotacja z budżetu wojewodztwa dla jos</t>
  </si>
  <si>
    <t>SPS ZOZ ZDROJE Szczecin 
pod nadzorem Wydziału Zdrowia i Wydziału Zarządzania Strategicznego</t>
  </si>
  <si>
    <t>Specjalistyczny Szpital im. A. Sokołowskiego 
w Szczecinie - Zdunowo pod nadzorem Wydziału Zdrowia</t>
  </si>
  <si>
    <t>rozdz. 75704</t>
  </si>
  <si>
    <t>środki  z budżetu województwa</t>
  </si>
  <si>
    <t>Poręczenie kredytu dla Szpitala Wojewódzkiego w Koszalinie (2009-2017)</t>
  </si>
  <si>
    <t>Szpital Wojewódzki 
w Koszalinie pod nadzorem Wydziału Zdrowia</t>
  </si>
  <si>
    <t>Utworzenie Centrum Diagnostyki Obrazowej w Samodzielnym Publicznym Wojewódzkim Szpitalu Zespolonym w Szczecinie w ramach w ramach osi VII RPO (2014-2015)</t>
  </si>
  <si>
    <t xml:space="preserve">                                                                                   </t>
  </si>
  <si>
    <r>
      <t xml:space="preserve">Tabela Nr 6D </t>
    </r>
    <r>
      <rPr>
        <i/>
        <sz val="12"/>
        <rFont val="Arial CE"/>
        <charset val="238"/>
      </rPr>
      <t xml:space="preserve"> do Załącznika Nr 3</t>
    </r>
  </si>
  <si>
    <t>I. PRZEDSIĘWZIĘCIA  FINANSOWANE PRZY WSPÓŁUDZIALE ŚRODKÓW, O KTÓRYCH MOWA W ART. 5 UST. 1 PKT 2 I 3 UFP W ZAKRESIE OŚWIATY I EDUKACYJNEJ OPIEKI WYCHOWAWCZEJ</t>
  </si>
  <si>
    <t>Planowana wartość kosztorysowa zadania /  dochody uzyskane na realizację zadania</t>
  </si>
  <si>
    <t xml:space="preserve">
Sekretariat ds.Młodzieży Województwa Zachodnio - pomorskiego 
pod nadzorem WWT</t>
  </si>
  <si>
    <t>rozdz. 80195</t>
  </si>
  <si>
    <t>Centrum Edukacji Nauczycieli w Koszalinie - nadzór WEiS</t>
  </si>
  <si>
    <t>rozdz. 80146</t>
  </si>
  <si>
    <t>II. POZOSTAŁE PRZEDSIĘWZIĘCIA  INWESTYCYJNE W ZAKRESIE OŚWIATY I EDUKACYJNEJ OPIEKI WYCHOWAWCZEJ</t>
  </si>
  <si>
    <t>dotacja z budżetu państwa (poza budżetem)</t>
  </si>
  <si>
    <t xml:space="preserve">dotacja z budżetu województwa </t>
  </si>
  <si>
    <t>środki budżetu województwa  (np.zwrot podatku VAT)</t>
  </si>
  <si>
    <t>Modernizacja Policealnej Szkoły Medycznej w Szczecinie - Wojewódzkiego Zespołu Szkół Policealnych w Szczecinie (2009-2016) Etap I i II</t>
  </si>
  <si>
    <t>Policealna Szkoła Medyczna 
w Szczecinie / Wojewódzki Zespół Szkół Policealnych w Szczecinie - nadzór WEiS</t>
  </si>
  <si>
    <t>rozdz. 
80130
85410</t>
  </si>
  <si>
    <t>Opracowanie projektu i modernizacja obiektu 
przy ul. J. Sowińskiego 68 w Szczecinie w zakresie montażu klimatyzacji (2011-2012)</t>
  </si>
  <si>
    <t>Zachodniopomorskie Centrum Doskonalenia Nauczycieli - nadzór WEiS</t>
  </si>
  <si>
    <t>rozdz.       80146</t>
  </si>
  <si>
    <t>rozdz.
80395</t>
  </si>
  <si>
    <t>środki budżetu województwa  (zwrot podatku VAT)</t>
  </si>
  <si>
    <r>
      <t xml:space="preserve">Tabela Nr 6E  </t>
    </r>
    <r>
      <rPr>
        <i/>
        <sz val="12"/>
        <rFont val="Arial CE"/>
        <charset val="238"/>
      </rPr>
      <t>do Załącznika Nr 3</t>
    </r>
  </si>
  <si>
    <t xml:space="preserve">I. PRZEDSIĘWZIĘCIA FINANSOWANE PRZY WSPÓŁUDZIALE ŚRODKÓW, O KTÓRYCH MOWA W ART. 5 UST. 1 PKT 2 I 3 UFP W ZAKRESIE ADMINISTRACJI I  TELEKOMUNIKACJI </t>
  </si>
  <si>
    <t xml:space="preserve">
Wydział Zarządzania Strategicznego</t>
  </si>
  <si>
    <t>rozdz. 75018</t>
  </si>
  <si>
    <t>Główny Punkt Informacyjny Funduszy Europejskich (GPI) przy ul.Kuśnierskiej 12b w ramach PO Pomoc Techniczna  - zakupy inwestycyjne (2009-2011)</t>
  </si>
  <si>
    <t>z tego:</t>
  </si>
  <si>
    <t xml:space="preserve"> - WZS</t>
  </si>
  <si>
    <t xml:space="preserve"> - WW RPO</t>
  </si>
  <si>
    <t xml:space="preserve"> - WOiRZL</t>
  </si>
  <si>
    <t xml:space="preserve"> - GM</t>
  </si>
  <si>
    <t xml:space="preserve">Projekty w ramach Pomocy Technicznej - Oś VIII RPO WZ - zakupy inwestycyjne (2007-2015) </t>
  </si>
  <si>
    <t>Wydział Zarządzania Strategicznego, Wydział Wdrażania RPO</t>
  </si>
  <si>
    <t>e-Administracja i e-Turystyka w województwie zachodniopomorskim w ramach działania 3.2 Osi III RPO WZ (2011-2015)</t>
  </si>
  <si>
    <t>Wydział Społeczeństwa Informacyjnego i Informatyki</t>
  </si>
  <si>
    <t>rozdz. 60052</t>
  </si>
  <si>
    <t xml:space="preserve">II. POZOSTAŁE  PRZEDSIĘWZIĘCIA  W ZAKRESIE ADMINISTRACJI I  TELEKOMUNIKACJI </t>
  </si>
  <si>
    <t>Wydział Inwestycji 
i Nieruchomości</t>
  </si>
  <si>
    <t>rozdz. 70005</t>
  </si>
  <si>
    <t>Zlecanie wykonania i udostępniania map topograficznych i tematycznych opracowań numerycznych, prowadzenie wojewódzkich baz danych oraz standardowych opracowań kartograficznych (2014-2015)</t>
  </si>
  <si>
    <t>Biuro Geodety Województwa</t>
  </si>
  <si>
    <t>rozdz. 
71013</t>
  </si>
  <si>
    <t>rozdz. 71013</t>
  </si>
  <si>
    <t xml:space="preserve">II. POZOSTAŁE PRZEDSIĘWZIĘCIA INWESTYCYJNE W ZAKRESIE KULTURY I OCHRONY DZIEDZICTWA NARODOWEGO </t>
  </si>
  <si>
    <t xml:space="preserve">dotacje z budżetu województwa dla jos </t>
  </si>
  <si>
    <t>Muzeum Narodowe w Szczecinie - nadzór WKNiDN</t>
  </si>
  <si>
    <t>rozdz. 92118</t>
  </si>
  <si>
    <t>Opera na Zamku 
w Szczecinie - nadzór WKNiDN</t>
  </si>
  <si>
    <t>rozdz. 92106</t>
  </si>
  <si>
    <t>Teatr Polski 
w Szczecinie - nadzór WKNiDN</t>
  </si>
  <si>
    <t>Zamek Książąt Pomorskich 
w Szczecinie - nadzór WKNiDN</t>
  </si>
  <si>
    <t>rozdz.
92109</t>
  </si>
  <si>
    <t>Pomoc Techniczna Programu Operacyjnego „Zrównoważony rozwój sektora rybołówstwa i nadbrzeżnych obszarów rybackich 2007-2013 - Oś 5 (2009-2015)</t>
  </si>
  <si>
    <t xml:space="preserve">Wydział Rolnictwa i Rybactwa
</t>
  </si>
  <si>
    <t>rozdz. 05011</t>
  </si>
  <si>
    <t>Pomoc Techniczna Programu Operacyjnego „Zrównoważony rozwój sektora rybołówstwa i nadbrzeżnych obszarów rybackich 2007-2013 - Oś 5 - zakupy inwestycyjne (2009-2015)</t>
  </si>
  <si>
    <t xml:space="preserve">Budowa niebieskiego korytarza ekologicznego wzdłuż doliny rzeki Iny i jej dopływów w ramach Instrumentu Finansowego LIFE+ (2011-2016) </t>
  </si>
  <si>
    <t>Zachodniopomorski Zarząd Melioracji i Urządzeń Wodnych pod nadzorem Wydziału Rolnictwa i Rybactwa</t>
  </si>
  <si>
    <t>rozdz. 01008</t>
  </si>
  <si>
    <t xml:space="preserve">Budowa niebieskiego korytarza ekologicznego wzdłuż doliny rzeki Regi  i jej dopływów w ramach Instrumentu Finansowego LIFE+ (2012-2017) </t>
  </si>
  <si>
    <t>Poprawianie i rozwijanie infrastruktury związanej rozwojem i dostosowaniem rolnictwa i leśnictwa w ramach PROW, Osi 1, Działania 125 (2009-2015)</t>
  </si>
  <si>
    <t>Pomoc Techniczna  w ramach PROW, Schematu I, II i III (2007-2015)</t>
  </si>
  <si>
    <t xml:space="preserve">Wydział  Programów Rozwoju Obszarów Wiejskich 
</t>
  </si>
  <si>
    <t>rozdz. 01041</t>
  </si>
  <si>
    <t>Pomoc Techniczna  w ramach PROW, Schematu I, II i III - zakupy inwestycyjne (2007-2015)</t>
  </si>
  <si>
    <t xml:space="preserve">Wydział  Programów Rozwoju Obszarów Wiejskich </t>
  </si>
  <si>
    <t>rodz. 90005</t>
  </si>
  <si>
    <t>Zabezpieczenie przeciwpowodziowe doliny rzeki Parsęty poniżej m. Osówko, w tym m. Kołobrzegu, Karlina i Białogardu w ramach PO IiŚ, Priorytetu III, Działania 3.1. (2010-2013)</t>
  </si>
  <si>
    <t xml:space="preserve">Zachodniopomorski Zarząd Melioracji i Urządzeń Wodnych pod nadzorem Wydziału Rolnictwa i Rybactwa
</t>
  </si>
  <si>
    <t xml:space="preserve">II. POZOSTAŁE  PRZEDSIĘWZIĘCIA W ZAKRESIE ROLNICTWA I OCHRONY ŚRODOWISKA </t>
  </si>
  <si>
    <t>Zbiornik retencyjny na rzece Dzierżęcince (2012-2013)</t>
  </si>
  <si>
    <t>Zabezpieczenie przeciwpowodziowe terenów przyległych do Jeziora Jamno (2012-2015)</t>
  </si>
  <si>
    <r>
      <t xml:space="preserve">Tabela Nr 6H  </t>
    </r>
    <r>
      <rPr>
        <i/>
        <sz val="12"/>
        <rFont val="Arial CE"/>
        <charset val="238"/>
      </rPr>
      <t>do Załącznika Nr 3</t>
    </r>
  </si>
  <si>
    <t>I. PRZEDSIĘWZIĘCIA FINANSOWANE PRZY WSPÓŁUDZIALE ŚRODKÓW, O KTÓRYCH MOWA W ART. 5 UST. 1 PKT 2 I 3 UFP W ZAKRESIE KULTURY FIZYCZNEJ  I TURYSTYKI</t>
  </si>
  <si>
    <t>rozdz. 63003</t>
  </si>
  <si>
    <t>rodz. 63003</t>
  </si>
  <si>
    <t xml:space="preserve">bieżące </t>
  </si>
  <si>
    <t xml:space="preserve">II. POZOSTAŁE  PRZEDSIĘWZIĘCIA  W ZAKRESIE KULTURY FIZYCZNEJ I TURYSTYKI </t>
  </si>
  <si>
    <t>Wspieranie realizacji zadań publicznych Województwa Zachodniopomorskiego w zakresie upowszechniania kultury fizycznej (2014-2016)</t>
  </si>
  <si>
    <t>WEiS</t>
  </si>
  <si>
    <t>rozdz. 92605      92695</t>
  </si>
  <si>
    <t>dotacja z budżetu województwa</t>
  </si>
  <si>
    <t xml:space="preserve">ZESTAWIENIE DOCHODÓW I WYDATKÓW  PLANOWANYCH  NA  PRZEDSIĘWZIĘCIA FINANSOWANE PRZY WSPÓŁUDZIALE ŚRODKÓW, O KTÓRYCH MOWA W ART. 5 UST. 1 PKT 2 I 3 UFP, WG  ŹRÓDEŁ FINANSOWANIA </t>
  </si>
  <si>
    <t>RPO WZ  -  wydatki</t>
  </si>
  <si>
    <t>RPO WZ  -  dochody</t>
  </si>
  <si>
    <t>PO KL - wydatki</t>
  </si>
  <si>
    <t>PO KL - dochody</t>
  </si>
  <si>
    <t>PO IiŚ - wydatki</t>
  </si>
  <si>
    <t>PO IiŚ - dochody</t>
  </si>
  <si>
    <t>PROW - wydatki</t>
  </si>
  <si>
    <t>PROW - dochody</t>
  </si>
  <si>
    <t>PO RYBY - wydatki</t>
  </si>
  <si>
    <t>PO RYBY - dochody</t>
  </si>
  <si>
    <t>Instrument Finansowy LIFE+ (wydatki)</t>
  </si>
  <si>
    <t>Instrument Finansowy LIFE+ (dochody)</t>
  </si>
  <si>
    <t>PO Pomoc Techniczna - wydatki</t>
  </si>
  <si>
    <t>PO Pomoc Techniczna - dochody</t>
  </si>
  <si>
    <t>PO Innowacyjna Gospodarka - wydatki</t>
  </si>
  <si>
    <t>PO Innowacyjna Gospodarka - dochody</t>
  </si>
  <si>
    <t>Program EWT - wydatki</t>
  </si>
  <si>
    <t>Program EWT- dochody</t>
  </si>
  <si>
    <t>IW INTERREG IVA  drogi - wydatki</t>
  </si>
  <si>
    <t>IW  INTERREG IVA  drogi - dochody</t>
  </si>
  <si>
    <t>IW INTERREG IVA Pomoc Tech.  - wydatki</t>
  </si>
  <si>
    <t>IW  INTERREG IVA Pomoc Tech.  - dochody</t>
  </si>
  <si>
    <t>IW INTERREG IVC URMA  - wydatki</t>
  </si>
  <si>
    <t>IW  INTERREG IVC URMA  - dochody</t>
  </si>
  <si>
    <t>Program Południowy Bałtyk - wydatki</t>
  </si>
  <si>
    <t>Program Południowy Bałtyk  - dochody</t>
  </si>
  <si>
    <t>OGÓŁEM    WYDATKI</t>
  </si>
  <si>
    <t>OGÓŁEM  DOCHODY</t>
  </si>
  <si>
    <t>sprawdzenie z załacznika Nr 2 - WYDATKI</t>
  </si>
  <si>
    <t>sprawdzenie z załacznika Nr 2 - DOCHODY</t>
  </si>
  <si>
    <t>RÓŻNICE</t>
  </si>
  <si>
    <t xml:space="preserve"> PROJEKTY  INWESTYCYJNE</t>
  </si>
  <si>
    <t>Udział środków UE w realizacji projektu (min. 60%)</t>
  </si>
  <si>
    <r>
      <rPr>
        <b/>
        <i/>
        <sz val="16"/>
        <color indexed="10"/>
        <rFont val="Arial"/>
        <family val="2"/>
        <charset val="238"/>
      </rPr>
      <t xml:space="preserve">Część I </t>
    </r>
    <r>
      <rPr>
        <b/>
        <i/>
        <sz val="16"/>
        <rFont val="Arial"/>
        <family val="2"/>
        <charset val="238"/>
      </rPr>
      <t>- PROJEKTY FINANSOWANE  KREDYTAMI  DLA KTÓRYCH ZOBOWIĄZANIA Z TYT. KREDYTÓW PODLEGAJĄ WYŁĄCZENIU Z PROGNOZY (WPF) - ART. 243 UST. 3a</t>
    </r>
  </si>
  <si>
    <t>Nr decyzji</t>
  </si>
  <si>
    <t>Kredyt</t>
  </si>
  <si>
    <t>Alokacja nr 6 z dnia 27.01.2014 r.</t>
  </si>
  <si>
    <t xml:space="preserve">Planowana wartość kosztorysowa zadania </t>
  </si>
  <si>
    <t>Wielkość nakładów poniesiona do końca 2013 r.</t>
  </si>
  <si>
    <t>Prognozowane nakłady inwestycyjne 2014-2017</t>
  </si>
  <si>
    <t>Uwagi</t>
  </si>
  <si>
    <t>Przebudowa drogi woj. nr 114 na odcinku Trzebież - Police w ramach Osi II RPO (2008-2014)</t>
  </si>
  <si>
    <t>EBI  - VII transza</t>
  </si>
  <si>
    <t>Pierwszy przydział  z 28.10.11 r. - Alokacja nr 2 w kwocie 18,4 mn zł. 
Wg sprawozdań dysponenta możliwe jest zwiększenie alokacji do kwoty 1,6 mln zł</t>
  </si>
  <si>
    <t>Wydatki ogółem, w tym:</t>
  </si>
  <si>
    <t xml:space="preserve">środki z budżetu krajowego (środki z budżetu województwa - WW) </t>
  </si>
  <si>
    <t>środki z budżetu UE (płatności z UE)</t>
  </si>
  <si>
    <t>Nr UDA-RPZP.02.01.01-32-002/13
 z dnia 17 lipca 2013 r.</t>
  </si>
  <si>
    <t xml:space="preserve">Przydział wprowadzony Alokacją nr 3 z 16.07.12 r.
</t>
  </si>
  <si>
    <t>Przebudowa drogi woj. nr 167 na odcinku Koszalin - droga nr 168 w ramach Osi II RPO (2008-2014)</t>
  </si>
  <si>
    <t>Nr UDA-RPZP.02.01.01-32-004/13 
z dnia 19 grudnia 2013 r.</t>
  </si>
  <si>
    <t>Przydział wprowadzony Alokacją nr 6 z 27.01.14 r.</t>
  </si>
  <si>
    <t>Przebudowa drogi woj. nr 163 na odcinku Czaplinek - Wałcz  (I etap Glinki - Wałcz) w ramach Osi II RPO (2007-2015)</t>
  </si>
  <si>
    <t>Nr UDA-RPZP.02.01.01-32-003/13 
z dnia 28 października 2013 r.</t>
  </si>
  <si>
    <t>Przydział wprowadzony Alokacją nr 3 z 16.07.12 r. w kwocie 5,3 mln zł.
 Do wyłączenia przyjęto nakłady na I etap inwestycji (wg stanu na 31 marca 2014 r.)</t>
  </si>
  <si>
    <t>WYSZCZEGÓLNIENIE</t>
  </si>
  <si>
    <r>
      <t xml:space="preserve">EBI  -  VII  TRANSZA  -  XII.2013 R. </t>
    </r>
    <r>
      <rPr>
        <sz val="10"/>
        <rFont val="Arial"/>
        <family val="2"/>
        <charset val="238"/>
      </rPr>
      <t>(zobowiązanie)</t>
    </r>
  </si>
  <si>
    <r>
      <t xml:space="preserve">Roczna spłata transzy EBI
</t>
    </r>
    <r>
      <rPr>
        <sz val="10"/>
        <rFont val="Arial"/>
        <family val="2"/>
        <charset val="238"/>
      </rPr>
      <t xml:space="preserve"> (wg proporcji) - poz. </t>
    </r>
    <r>
      <rPr>
        <b/>
        <sz val="10"/>
        <rFont val="Arial"/>
        <family val="2"/>
        <charset val="238"/>
      </rPr>
      <t>5.1.1.2.</t>
    </r>
    <r>
      <rPr>
        <sz val="10"/>
        <rFont val="Arial"/>
        <family val="2"/>
        <charset val="238"/>
      </rPr>
      <t xml:space="preserve"> WPF</t>
    </r>
  </si>
  <si>
    <r>
      <t xml:space="preserve">Planowana roczna kwota odsetek 
</t>
    </r>
    <r>
      <rPr>
        <sz val="10"/>
        <rFont val="Arial"/>
        <family val="2"/>
        <charset val="238"/>
      </rPr>
      <t xml:space="preserve">(wg proporcji) - poz. </t>
    </r>
    <r>
      <rPr>
        <b/>
        <sz val="10"/>
        <rFont val="Arial"/>
        <family val="2"/>
        <charset val="238"/>
      </rPr>
      <t>2.1.3.1.2</t>
    </r>
    <r>
      <rPr>
        <sz val="10"/>
        <rFont val="Arial"/>
        <family val="2"/>
        <charset val="238"/>
      </rPr>
      <t>. WPF</t>
    </r>
  </si>
  <si>
    <t>Wyłączenia stosowane w WPF z  IWZ</t>
  </si>
  <si>
    <t>proporcje wykorzystanej transzy kredytu na sfinansowanie wkładów własnych do projektów</t>
  </si>
  <si>
    <t>Kredyt wykorzystany na wyłączane projekty w kolejnych latach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</si>
  <si>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</si>
  <si>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</si>
  <si>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</si>
  <si>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</si>
  <si>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</si>
  <si>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</si>
  <si>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</si>
  <si>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</si>
  <si>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</si>
  <si>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</si>
  <si>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</si>
  <si>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</si>
  <si>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</si>
  <si>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</si>
  <si>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</si>
  <si>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</si>
  <si>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</si>
  <si>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2033</t>
  </si>
  <si>
    <t>2034</t>
  </si>
  <si>
    <t>2035</t>
  </si>
  <si>
    <t>2036</t>
  </si>
  <si>
    <t>2037</t>
  </si>
  <si>
    <t>2038</t>
  </si>
  <si>
    <t>Akademia Sztuki             w Szczecinie pod nadzorem Wydziału Edukacji  i Sportu</t>
  </si>
  <si>
    <r>
      <t xml:space="preserve">Tabela Nr 6C </t>
    </r>
    <r>
      <rPr>
        <i/>
        <sz val="12"/>
        <rFont val="Arial CE"/>
        <charset val="238"/>
      </rPr>
      <t xml:space="preserve"> do Załącznika Nr 3</t>
    </r>
  </si>
  <si>
    <r>
      <t>dotacje celowe od innych jst</t>
    </r>
    <r>
      <rPr>
        <sz val="8"/>
        <rFont val="Arial CE"/>
        <charset val="238"/>
      </rPr>
      <t xml:space="preserve"> (pomoc finansowa i porozumienia)</t>
    </r>
  </si>
  <si>
    <r>
      <t xml:space="preserve">Uwaga!  </t>
    </r>
    <r>
      <rPr>
        <i/>
        <sz val="8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</si>
  <si>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I. PRZEDSIĘWZIĘCIA FINANSOWANE PRZY WSPÓŁUDZIALE ŚRODKÓW, O KTÓRYCH MOWA W ART. 5 UST. 1 PKT 2 I 3 UFP W ZAKRESIE ROZWOJU REGIONALNEGO I PLANOWANIA PRZESTRZENNEGO</t>
  </si>
  <si>
    <t>Regionalne Biuro Gospodarki Przestrzennej Województwa Zachodniopomorskiego w Szczecinie pod nadzorem Wydziału Zarządzania Strategicznego</t>
  </si>
  <si>
    <t>rodz. 71003</t>
  </si>
  <si>
    <t>Wydział Zarządzania Strategicznego</t>
  </si>
  <si>
    <t>rodz. 71095</t>
  </si>
  <si>
    <t>rodz. 75862</t>
  </si>
  <si>
    <t>Modernizacja budynku internatu przy pl. Orła Białego 2 
w Szczecinie Akademii Sztuki w Szczecinie  (2013-2015)</t>
  </si>
  <si>
    <t>rozdz. 85111/
85195</t>
  </si>
  <si>
    <t>Rozbudowa części środkowej budynku głównego wraz z dostosowaniem oddziałów chirurgicznych do wymogów fachowo-sanitarnych  w Specjalistycznym Szpitalu im. A.Sokołowskiego w Szczecinie-Zdunowie w ramach osi VII RPO (2006-2015)</t>
  </si>
  <si>
    <r>
      <t>Tabela Nr 6F</t>
    </r>
    <r>
      <rPr>
        <i/>
        <sz val="12"/>
        <rFont val="Arial CE"/>
        <charset val="238"/>
      </rPr>
      <t xml:space="preserve">  do Załącznika Nr 3</t>
    </r>
  </si>
  <si>
    <r>
      <t xml:space="preserve">Tabela Nr 6G </t>
    </r>
    <r>
      <rPr>
        <i/>
        <sz val="12"/>
        <rFont val="Arial CE"/>
        <charset val="238"/>
      </rPr>
      <t xml:space="preserve"> do Załącznika Nr 3</t>
    </r>
  </si>
  <si>
    <r>
      <t xml:space="preserve">Tabela Nr 6I  </t>
    </r>
    <r>
      <rPr>
        <i/>
        <sz val="12"/>
        <rFont val="Arial CE"/>
        <charset val="238"/>
      </rPr>
      <t>do Załącznika Nr 3</t>
    </r>
  </si>
  <si>
    <t>rozdz. 75095</t>
  </si>
  <si>
    <t>Wieloletnie umowy mające na celu zapewnienie ciągłości działania Urzędu Marszałkowskiego Województwa Zachodniopomorskiego (2012 - 2019)</t>
  </si>
  <si>
    <t>2019 r.</t>
  </si>
  <si>
    <t xml:space="preserve">2020 r. </t>
  </si>
  <si>
    <t xml:space="preserve">2008 r. </t>
  </si>
  <si>
    <t xml:space="preserve">Zrealizowane nakłady/uzyskane dochody </t>
  </si>
  <si>
    <t>do 2013 r.</t>
  </si>
  <si>
    <t>2020 r.</t>
  </si>
  <si>
    <t>Akademia Sztuki   
w Szczecinie 
pod nadzorem Wydziału Edukacji  
i Sportu</t>
  </si>
  <si>
    <t xml:space="preserve">Dofinansowanie kolejowych przewozów pasażerskich (2013-2020) </t>
  </si>
  <si>
    <t xml:space="preserve">Usługi telekomunikacyjne dla pojazdów szynowych Województwa (2015-2020) </t>
  </si>
  <si>
    <t>Objęcie nowych udziałów w Spółce Port Lotniczy Szczecin-Goleniów (2008-2020)</t>
  </si>
  <si>
    <t xml:space="preserve">Projekty w ramach Pomocy Technicznej - Oś VIII RPO WZ (2007-2015) </t>
  </si>
  <si>
    <t>Pomoc Techniczna w ramach  Programu EWT 
 INTERREG IVA (2008 - 2015)</t>
  </si>
  <si>
    <t>Ubezpieczenie taboru kolejowego Województwa (2011-2018)</t>
  </si>
  <si>
    <t>środki  budżetu województwa (w tym zwrot podatku VAT)</t>
  </si>
  <si>
    <t>środki budżetu województwa</t>
  </si>
  <si>
    <t>środki własne budżetu województwa</t>
  </si>
  <si>
    <t>Sieć Punktów Informacyjnych Funduszy Europejskich (PIFE) w Województwie Zachodniopomorskim w ramach PO Pomoc Techniczna  (2015-2020)</t>
  </si>
  <si>
    <r>
      <t>Wydział Zarządzania Strategicznego, Wydział Wdrażania RPO</t>
    </r>
    <r>
      <rPr>
        <sz val="7"/>
        <rFont val="Arial CE"/>
        <charset val="238"/>
      </rPr>
      <t>, Wydział Organizacji i Rozwoju Zasobów Ludzkich, Gabinet Marszałka</t>
    </r>
  </si>
  <si>
    <t>Główny Punkt Informacyjny Funduszy Europejskich (GPI)  przy ul.Kuśnierskiej 12b w ramach PO Pomoc Techniczna  (2009-2015)</t>
  </si>
  <si>
    <t>Pomoc Techniczna w ramach  PO WER - wydatki</t>
  </si>
  <si>
    <t>Pomoc Techniczna w ramach  PO WER - dochody</t>
  </si>
  <si>
    <t>rozdz. 92502</t>
  </si>
  <si>
    <t>Parki Krajobrazowe Województwa Zachodniopomorskiego nadzór WTiG</t>
  </si>
  <si>
    <t>Projekt pn. "Kampanie edukacyjne i społeczne prowadzone na terenie Parków Krajobrazowych Województwa Zachodniopomorskiego jako promocja i popularyzacja walorów przyrodniczych" (2015-2016)</t>
  </si>
  <si>
    <t>Środki z budżetu krajowego, z tego:</t>
  </si>
  <si>
    <t>rozdz. 75863</t>
  </si>
  <si>
    <t>Pozostałe projekty współfinansowane ze śrdoków Unii Europejskiej - wydatki</t>
  </si>
  <si>
    <t>Pozostałe projekty współfinansowane ze śrdoków Unii Europejskiej -  dochody</t>
  </si>
  <si>
    <t>Poręczenie kredytu obrotowego dla Specjalistycznego Szpitala w Szczecinie Zdunowie  (2015-2019)</t>
  </si>
  <si>
    <t>22.</t>
  </si>
  <si>
    <t>23.</t>
  </si>
  <si>
    <r>
      <t xml:space="preserve">Uwaga!  </t>
    </r>
    <r>
      <rPr>
        <i/>
        <sz val="9"/>
        <rFont val="Arial CE"/>
        <charset val="238"/>
      </rPr>
      <t>Dotacje celowe/płatności z budżetu UE dla ww. projektów podaje się informacyjnie; nie stanowią one wpływu na rachunek budżetu województwa i nie są ujmowane w planie dochodów budżetu województwa</t>
    </r>
  </si>
  <si>
    <t>WTiG</t>
  </si>
  <si>
    <t>RPO WZ NA LATA 2014 - 2020</t>
  </si>
  <si>
    <t>A</t>
  </si>
  <si>
    <t>B</t>
  </si>
  <si>
    <t xml:space="preserve">II. POZOSTAŁE PRZEDSIĘWZIĘCIA W ZAKRESIE OCHRONY ZDROWIA </t>
  </si>
  <si>
    <t>I. PRZEDSIĘWZIĘCIA FINANSOWANE PRZY WSPÓŁUDZIALE ŚRODKÓW, O KTÓRYCH MOWA W ART. 5 UST. 1 PKT 2 I 3 UFP W ZAKRESIE TRANSPORTU I ŁĄCZNOŚCI</t>
  </si>
  <si>
    <t xml:space="preserve">I. PRZEDSIĘWZIĘCIA INWESTYCYJNE FINANSOWANE PRZY WSPÓŁUDZIALE ŚRODKÓW, O KTÓRYCH MOWA W ART. 5 UST. 1 PKT 2 I 3 UFP W ZAKRESIE ROLNICTWA I OCHRONY ŚRODOWISKA </t>
  </si>
  <si>
    <t>WZS / WIiT</t>
  </si>
  <si>
    <t>WZS/ WIiT</t>
  </si>
  <si>
    <t>Kwota transzy kredytu ogółem (dla zadań zaalokowanych w EBI)</t>
  </si>
  <si>
    <t>Nr UDA-RPZP.02.01.01-32-001/15-00 
Nr UDA-RPZP.02.01.01-32-002/15-00 
z dnia 22 lipca 2015 r.</t>
  </si>
  <si>
    <t>ZZDW / WIiT
w ramach RPO 2007-2013</t>
  </si>
  <si>
    <t>Wielkość nakładów poniesiona do końca 2014 r.</t>
  </si>
  <si>
    <r>
      <t xml:space="preserve">Nr UDA-RPZP.02.01.01-32-001/13 
z dnia 17 lipca 2013 r.
</t>
    </r>
    <r>
      <rPr>
        <sz val="9"/>
        <color rgb="FF0000FF"/>
        <rFont val="Arial CE"/>
        <charset val="238"/>
      </rPr>
      <t>+ wniosek aplikacyjny na II etap inwestycji ma zostać wkrótce złożony do WWRPO</t>
    </r>
  </si>
  <si>
    <r>
      <rPr>
        <b/>
        <sz val="11"/>
        <color indexed="18"/>
        <rFont val="Arial Black"/>
        <family val="2"/>
        <charset val="238"/>
      </rPr>
      <t>Poz. 12.6</t>
    </r>
    <r>
      <rPr>
        <b/>
        <sz val="11"/>
        <color indexed="18"/>
        <rFont val="Arial"/>
        <family val="2"/>
        <charset val="238"/>
      </rPr>
      <t xml:space="preserve"> WPF (plus zakup szynonusów) cały wkład krajowy</t>
    </r>
  </si>
  <si>
    <r>
      <t xml:space="preserve">KWOTA PODLEGAJĄCA WYŁĄCZENIU  - OGÓŁEM
</t>
    </r>
    <r>
      <rPr>
        <sz val="11"/>
        <color rgb="FF0000FF"/>
        <rFont val="Arial CE"/>
        <charset val="238"/>
      </rPr>
      <t xml:space="preserve"> (WKŁAD WŁASNY PRZY REALIZACJI PRZEDSIĘWZIĘĆ)</t>
    </r>
  </si>
  <si>
    <r>
      <rPr>
        <b/>
        <sz val="14"/>
        <color indexed="10"/>
        <rFont val="Arial"/>
        <family val="2"/>
        <charset val="238"/>
      </rPr>
      <t xml:space="preserve">Część II </t>
    </r>
    <r>
      <rPr>
        <b/>
        <sz val="14"/>
        <color indexed="8"/>
        <rFont val="Arial"/>
        <family val="2"/>
        <charset val="238"/>
      </rPr>
      <t>- ROZLICZENIE  KREDYTU  DO  WYŁĄCZEŃ  W  2015 R. - stosowanie do zapisów art. 243 ust 3a upf</t>
    </r>
  </si>
  <si>
    <t>Kredyt wykorzystany na wyłączane projekty w 2015 r.</t>
  </si>
  <si>
    <t>rodz.  75863</t>
  </si>
  <si>
    <t>Pomoc Techniczna  w ramach PROW (2015-2019)</t>
  </si>
  <si>
    <t>Pomoc Techniczna  w ramach PROW - zakupy inwestycyjne (2015-2019)</t>
  </si>
  <si>
    <t>ZZDW / WZS</t>
  </si>
  <si>
    <r>
      <t xml:space="preserve">Zachodniopomorskie - Morze Przygody. Promocja turystyczna Województwa Zachodniopomorskiego </t>
    </r>
    <r>
      <rPr>
        <sz val="9"/>
        <rFont val="Arial CE"/>
        <charset val="238"/>
      </rPr>
      <t xml:space="preserve">w ramach RPO WZ, Osi V </t>
    </r>
    <r>
      <rPr>
        <b/>
        <sz val="9"/>
        <rFont val="Arial CE"/>
        <family val="2"/>
        <charset val="238"/>
      </rPr>
      <t>(2012-2014)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</si>
  <si>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 xml:space="preserve">w ramach RPO WZ, Osi VI  </t>
    </r>
    <r>
      <rPr>
        <b/>
        <sz val="9"/>
        <rFont val="Arial CE"/>
        <family val="2"/>
        <charset val="238"/>
      </rPr>
      <t>- zakupy inwestycyjne (2013-2014)</t>
    </r>
  </si>
  <si>
    <r>
      <t xml:space="preserve">Zachodniopomorskie 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- wydatki inwestycyjne (2014-2015)</t>
    </r>
  </si>
  <si>
    <r>
      <t xml:space="preserve">Zachodniopomorskie Regionalne Obserwatorium Terytorialne podstawą rozwoju regionu </t>
    </r>
    <r>
      <rPr>
        <sz val="9"/>
        <rFont val="Arial CE"/>
        <charset val="238"/>
      </rPr>
      <t>w ramach działania 5.2 PO KL</t>
    </r>
    <r>
      <rPr>
        <b/>
        <sz val="9"/>
        <rFont val="Arial CE"/>
        <family val="2"/>
        <charset val="238"/>
      </rPr>
      <t xml:space="preserve"> (2014-2015)</t>
    </r>
  </si>
  <si>
    <r>
      <t xml:space="preserve">Partnerstwo miejsko-wiejskie w obszarach metropolitalnych - URMA </t>
    </r>
    <r>
      <rPr>
        <sz val="9"/>
        <rFont val="Arial CE"/>
        <charset val="238"/>
      </rPr>
      <t>w ramach programu INTERREG IVC</t>
    </r>
    <r>
      <rPr>
        <b/>
        <sz val="9"/>
        <rFont val="Arial CE"/>
        <family val="2"/>
        <charset val="238"/>
      </rPr>
      <t xml:space="preserve"> (2011-2014)</t>
    </r>
  </si>
  <si>
    <t xml:space="preserve">PROJEKTY REALIZOWANE W RAMACH POZOSTAŁYCH FUNDUSZY UE </t>
  </si>
  <si>
    <t>Lider Zachodniopomorski w ramach Programu "Młodzież w działaniu", Akcja 5.1. - Spotkania młodzieży i osób odpowiedzialnych za politykę młodzieżową (2013-2014)</t>
  </si>
  <si>
    <r>
      <t xml:space="preserve">Organizacja Regionalnych spotkań informacyjnych i konsultacji indywidualnych podnoszących wiedzę nt. realizacji projektów </t>
    </r>
    <r>
      <rPr>
        <sz val="9"/>
        <rFont val="Arial CE"/>
        <charset val="238"/>
      </rPr>
      <t>w programie Erasmus+ Edukacja szkolna na lata 2014-2020</t>
    </r>
    <r>
      <rPr>
        <b/>
        <sz val="9"/>
        <rFont val="Arial CE"/>
        <charset val="238"/>
      </rPr>
      <t xml:space="preserve"> (2015-2017)</t>
    </r>
  </si>
  <si>
    <r>
      <t>Akademia Zmienia Szczecin - Modernizacja Pałacu pod Globusem</t>
    </r>
    <r>
      <rPr>
        <sz val="9"/>
        <rFont val="Arial CE"/>
        <charset val="238"/>
      </rPr>
      <t xml:space="preserve"> w ramach RPO WZ, Osi VI: Rozwój Funkcji Metropolitarnych</t>
    </r>
    <r>
      <rPr>
        <b/>
        <sz val="9"/>
        <rFont val="Arial CE"/>
        <family val="2"/>
        <charset val="238"/>
      </rPr>
      <t xml:space="preserve"> (2013-2014)</t>
    </r>
  </si>
  <si>
    <t xml:space="preserve">dotacje celowe  z budżetu państwa </t>
  </si>
  <si>
    <t>dotacjecelowe/płatności z UE</t>
  </si>
  <si>
    <t>PROJEKTY  REALIZOWANE  W  RAMACH  IW  INTERREG</t>
  </si>
  <si>
    <t>środki z Unii Europejskiej (refundacja)</t>
  </si>
  <si>
    <t>Dokumentacje techniczne na zadania drogowe w ramach Osi VIII RPO (2014-2015)</t>
  </si>
  <si>
    <t>IW INTERREG NA LATA 2014 - 2020</t>
  </si>
  <si>
    <t>spr źródeł</t>
  </si>
  <si>
    <t>spr doch suma dziedzin</t>
  </si>
  <si>
    <t>Przebudowa mostu k. miejscowości Żelimucha w ciągu drogi woj. Nr 166 (2015 - 2016)</t>
  </si>
  <si>
    <t>Poręczenie kredytu dla Szpitala Specjalistycznego 
w Szczecinie Zdunowie na pokrycie wkładu własnego (2015-2018)*</t>
  </si>
  <si>
    <t>*   Umowa poręczenia została zawarta na okres od 2015 do 2030 r. z limitem poręczenia w wysokości 5.000.000 zł. Zwolnione środki stanowiące zabezpieczenie spłaty kredytu zaplanowane w latach 2015-2018 będą przenoszone na lata następne.</t>
  </si>
  <si>
    <t>poręczenia dla ZOZ-ów</t>
  </si>
  <si>
    <t>◄ kwota poręczeń w latach 2021-2027</t>
  </si>
  <si>
    <r>
      <t>Przedsięwzięcia na które nie zostały zawarte umowy z IZ (</t>
    </r>
    <r>
      <rPr>
        <b/>
        <sz val="10"/>
        <rFont val="Arial"/>
        <family val="2"/>
        <charset val="238"/>
      </rPr>
      <t>wkład unijny 1,7,8)</t>
    </r>
  </si>
  <si>
    <r>
      <t xml:space="preserve">Przedsięwzięcia na które nie zostały zawarte umowy z IZ </t>
    </r>
    <r>
      <rPr>
        <b/>
        <sz val="10"/>
        <rFont val="Arial"/>
        <family val="2"/>
        <charset val="238"/>
      </rPr>
      <t>(wkład krajowy 9)</t>
    </r>
  </si>
  <si>
    <t>wydatki (poz. 12.5.1.)</t>
  </si>
  <si>
    <r>
      <t xml:space="preserve">Budowa obejścia m. Szczecinek w ciągu drogi nr 172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(2009-2016)</t>
    </r>
  </si>
  <si>
    <r>
      <t xml:space="preserve">Budowa obejścia m. Barlinek w ciągu drogi nr 151 </t>
    </r>
    <r>
      <rPr>
        <sz val="9"/>
        <rFont val="Arial CE"/>
        <charset val="238"/>
      </rPr>
      <t>w ramach Osi II RPO</t>
    </r>
    <r>
      <rPr>
        <b/>
        <sz val="9"/>
        <rFont val="Arial CE"/>
        <charset val="238"/>
      </rPr>
      <t xml:space="preserve"> (2010-2016)</t>
    </r>
  </si>
  <si>
    <r>
      <t xml:space="preserve">Budowa obejścia m. Dobra w ciągu drogi nr 144 </t>
    </r>
    <r>
      <rPr>
        <sz val="9"/>
        <rFont val="Arial CE"/>
        <charset val="238"/>
      </rPr>
      <t>w ramach Osi V RPO</t>
    </r>
    <r>
      <rPr>
        <b/>
        <sz val="9"/>
        <rFont val="Arial CE"/>
        <family val="2"/>
        <charset val="238"/>
      </rPr>
      <t xml:space="preserve"> (2011-2016)</t>
    </r>
  </si>
  <si>
    <r>
      <t xml:space="preserve">Zachodniopomorskie - Morze Przygody. Promocja turystyczna Województwa Zachodniopomorskiego i Szczecińskiego Obszaru Metropolitarnego </t>
    </r>
    <r>
      <rPr>
        <sz val="9"/>
        <rFont val="Arial CE"/>
        <charset val="238"/>
      </rPr>
      <t>w ramach RPO WZ, Osi VI</t>
    </r>
    <r>
      <rPr>
        <b/>
        <sz val="9"/>
        <rFont val="Arial CE"/>
        <family val="2"/>
        <charset val="238"/>
      </rPr>
      <t xml:space="preserve"> (2012-2015)</t>
    </r>
  </si>
  <si>
    <r>
      <t xml:space="preserve">Poznaj Pomorze Zachodnie. Oznakowanie turystyczne regionu </t>
    </r>
    <r>
      <rPr>
        <sz val="9"/>
        <rFont val="Arial CE"/>
        <charset val="238"/>
      </rPr>
      <t>w ramach RPO WZ, Osi V</t>
    </r>
    <r>
      <rPr>
        <b/>
        <sz val="9"/>
        <rFont val="Arial CE"/>
        <family val="2"/>
        <charset val="238"/>
      </rPr>
      <t xml:space="preserve"> (2012-2015)</t>
    </r>
  </si>
  <si>
    <t>Misje eksportowe - etap I, II, III, IV, V i VI w ramach RPO WZ, Oś priorytetowa 1, Działanie 1.3, Poddziałanie 1.3.2 (2012-2015)</t>
  </si>
  <si>
    <t xml:space="preserve">rozdz.
 </t>
  </si>
  <si>
    <t xml:space="preserve">rozdz. 
</t>
  </si>
  <si>
    <t>rozdz.</t>
  </si>
  <si>
    <t>Budowa Centrum Nauki w Szczecinie (2011-2016)</t>
  </si>
  <si>
    <t>czekam na pismo do uzunięcia</t>
  </si>
  <si>
    <t>PROJEKTY  REALIZOWANE  W  RAMACH RPO WZ 2007-2013 oraz RPO WZ 2014 - 2020</t>
  </si>
  <si>
    <t>Kwota wprowadzona, w przypadku nieotrzymania informacji z Ministerstwa do uzunięcia dochody i wydatki z b.państwa</t>
  </si>
  <si>
    <t>Limity zobowiązań 2016-2020 i lata następne</t>
  </si>
  <si>
    <t>Limit` 16</t>
  </si>
  <si>
    <t>"Rewitalizacja europejskiego szlaku kulturowego na obszarze Południowego Bałtyku - Pomorski Szlak św. Jakuba" w ramach Programu Współpracy Transgranicznej Południowy Bałtyk - EWT (2011-2014)*</t>
  </si>
  <si>
    <t>rozdz. 75864</t>
  </si>
  <si>
    <t xml:space="preserve"> - Gmina i Miasto Koszalin</t>
  </si>
  <si>
    <t xml:space="preserve"> - WFOŚiGW</t>
  </si>
  <si>
    <t>spr</t>
  </si>
  <si>
    <r>
      <t>Dochody PT 2014-2020 w latach 2021-2023 (</t>
    </r>
    <r>
      <rPr>
        <b/>
        <sz val="10"/>
        <rFont val="Arial"/>
        <family val="2"/>
        <charset val="238"/>
      </rPr>
      <t>płatności)</t>
    </r>
  </si>
  <si>
    <t>Razem wydatki w latach 2014-2020</t>
  </si>
  <si>
    <t>Wydatki (WW) PT 2014-2020 - lata 2021-2023</t>
  </si>
  <si>
    <t>wydatki w latach 2021-23 PT RPO</t>
  </si>
  <si>
    <t>dotacje celowe / płatności z UE w latach 2021-2023</t>
  </si>
  <si>
    <t>Sprawdzenie dochody</t>
  </si>
  <si>
    <t>Wydział Zarządzania Strategicznego, Wydział Wdrażania RPO, Wydział Organizacji i Rozwoju Zasobów Ludzkich, Gabinet Marszałka</t>
  </si>
  <si>
    <t>rozdz. 75018
75095
90011</t>
  </si>
  <si>
    <t>Wojewódzki Szpital Zespolony w Szczecinie 
pod nadzorem Wydziału Zdrowia i Wydziału Zarządzania Strategicznego</t>
  </si>
  <si>
    <t>Wojewódzki Urząd Pracy w Szczecinie
pod nadzorem Wydziału Zarządzania Strategicznego</t>
  </si>
  <si>
    <t>Sprawdzenie wydatki</t>
  </si>
  <si>
    <t>Studium wykonalności Zachodniego Drogowego Obejścia Miasta Szczecina wraz z Raportem oddziaływania na środowisko (2009-2016)</t>
  </si>
  <si>
    <t>PT Oś X UM - bieżące</t>
  </si>
  <si>
    <t>PT Oś X UM - majatkowe</t>
  </si>
  <si>
    <t>do 2014 r.</t>
  </si>
  <si>
    <t>2023 r.</t>
  </si>
  <si>
    <t>2021 r.</t>
  </si>
  <si>
    <t>2022 r.</t>
  </si>
  <si>
    <t>do ukrycia</t>
  </si>
  <si>
    <t>Limity zobowiązań 2016-2023 i lata następne</t>
  </si>
  <si>
    <t>do  2014 r.</t>
  </si>
  <si>
    <t xml:space="preserve">2021 r. </t>
  </si>
  <si>
    <t xml:space="preserve">2022 r. </t>
  </si>
  <si>
    <t xml:space="preserve">2023 r. </t>
  </si>
  <si>
    <t>Limity zobowiązań 2016-2023  i lata następne</t>
  </si>
  <si>
    <t>do 2014</t>
  </si>
  <si>
    <t>Oś X, Pomoc techniczna RPO WZ 2014 - 2020 (2015-2023)</t>
  </si>
  <si>
    <t>Zakupy inwestycyjne w ramach Osi X - Pomoc techniczna RPO WZ 2014 - 2020 (2015-2023)</t>
  </si>
  <si>
    <t>Poręczenie kredytu dla Szpitala Specjalistycznego w Szczecinie Zdunowie (2014-2022)</t>
  </si>
  <si>
    <t>Poręczenie kredytu inwestycyjnego dla Samodzielnego Publicznego Wojewódzkiego Szpitala Zespolonego w Szczecinie (2015-2027)**</t>
  </si>
  <si>
    <r>
      <t xml:space="preserve">** W latach 2024- 2027 kwota poręczenia dla Samodzielnego Publicznego Wojewódzkiego Szpitala zespolonego w Szczecinie wynosi </t>
    </r>
    <r>
      <rPr>
        <b/>
        <i/>
        <sz val="8"/>
        <rFont val="Arial CE"/>
        <charset val="238"/>
      </rPr>
      <t>2.514.288 zł.</t>
    </r>
  </si>
  <si>
    <r>
      <t>Limit zobowiązań na lata 2016-20</t>
    </r>
    <r>
      <rPr>
        <b/>
        <sz val="10"/>
        <color indexed="8"/>
        <rFont val="Arial CE"/>
        <charset val="238"/>
      </rPr>
      <t>23</t>
    </r>
    <r>
      <rPr>
        <b/>
        <sz val="10"/>
        <color indexed="8"/>
        <rFont val="Arial CE"/>
        <family val="2"/>
        <charset val="238"/>
      </rPr>
      <t xml:space="preserve"> 
i lata następne</t>
    </r>
  </si>
  <si>
    <r>
      <t>Młodzież w działaniu, Prowadzenie Punktu Informacji Europejskiej</t>
    </r>
    <r>
      <rPr>
        <sz val="11"/>
        <color rgb="FF0000FF"/>
        <rFont val="Arial CE"/>
        <charset val="238"/>
      </rPr>
      <t xml:space="preserve"> (środki Komisji Europejskiej), </t>
    </r>
    <r>
      <rPr>
        <b/>
        <sz val="11"/>
        <color rgb="FF0000FF"/>
        <rFont val="Arial CE"/>
        <charset val="238"/>
      </rPr>
      <t>GRUNTVIG</t>
    </r>
    <r>
      <rPr>
        <b/>
        <sz val="11"/>
        <color rgb="FF0000FF"/>
        <rFont val="Arial CE"/>
        <family val="2"/>
        <charset val="238"/>
      </rPr>
      <t xml:space="preserve"> - wydatki</t>
    </r>
  </si>
  <si>
    <t>Limit zobowiązań 
w latach 
2016-2023</t>
  </si>
  <si>
    <t>Prognozowane nakłady  /dochody w latach 2016 - 2023</t>
  </si>
  <si>
    <r>
      <t xml:space="preserve">Młodzież w działaniu, Prowadzenie Punktu Informacji Europejskiej </t>
    </r>
    <r>
      <rPr>
        <sz val="11"/>
        <color rgb="FF0000FF"/>
        <rFont val="Arial CE"/>
        <charset val="238"/>
      </rPr>
      <t xml:space="preserve">(środki Komisji Europejskiej), </t>
    </r>
    <r>
      <rPr>
        <b/>
        <sz val="11"/>
        <color rgb="FF0000FF"/>
        <rFont val="Arial CE"/>
        <charset val="238"/>
      </rPr>
      <t>GRUNTVIG</t>
    </r>
    <r>
      <rPr>
        <sz val="11"/>
        <color rgb="FF0000FF"/>
        <rFont val="Arial CE"/>
        <charset val="238"/>
      </rPr>
      <t xml:space="preserve"> </t>
    </r>
    <r>
      <rPr>
        <b/>
        <sz val="11"/>
        <color rgb="FF0000FF"/>
        <rFont val="Arial CE"/>
        <family val="2"/>
        <charset val="238"/>
      </rPr>
      <t>- dochody</t>
    </r>
  </si>
  <si>
    <r>
      <t>Przebudowa drogi woj. nr 163 na odcinku Czaplinek - Wałcz (etap I)</t>
    </r>
    <r>
      <rPr>
        <sz val="9"/>
        <rFont val="Arial CE"/>
        <family val="2"/>
        <charset val="238"/>
      </rPr>
      <t xml:space="preserve"> w ramach Osi II RPO</t>
    </r>
    <r>
      <rPr>
        <b/>
        <sz val="9"/>
        <rFont val="Arial CE"/>
        <family val="2"/>
        <charset val="238"/>
      </rPr>
      <t xml:space="preserve"> (2007-2016)</t>
    </r>
  </si>
  <si>
    <r>
      <t xml:space="preserve">Przebudowa drogi woj. nr 167 na odcinku Koszalin - droga nr 168 </t>
    </r>
    <r>
      <rPr>
        <sz val="9"/>
        <rFont val="Arial CE"/>
        <family val="2"/>
        <charset val="238"/>
      </rPr>
      <t>w ramach Osi II RPO</t>
    </r>
    <r>
      <rPr>
        <b/>
        <sz val="9"/>
        <rFont val="Arial CE"/>
        <family val="2"/>
        <charset val="238"/>
      </rPr>
      <t xml:space="preserve"> (2008-2016)</t>
    </r>
  </si>
  <si>
    <r>
      <t xml:space="preserve">Budowa pawilonu wystawowego służącego celom Centrum Dialogu Przełomy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(2009-2015)</t>
    </r>
  </si>
  <si>
    <r>
      <t>Rewitalizacja europejskiego szlaku kulturowego na obszarze Południowego Bałtyku - Pomorski Szlak św. Jakuba</t>
    </r>
    <r>
      <rPr>
        <sz val="9"/>
        <rFont val="Arial CE"/>
        <charset val="238"/>
      </rPr>
      <t xml:space="preserve"> w ramach Programu Współpracy Transgranicznej Południowy Bałtyk - EWT -zakupy inwestycyjne</t>
    </r>
    <r>
      <rPr>
        <b/>
        <sz val="9"/>
        <rFont val="Arial CE"/>
        <family val="2"/>
        <charset val="238"/>
      </rPr>
      <t xml:space="preserve"> (2011-2014)*</t>
    </r>
  </si>
  <si>
    <t>Zachodniopomorskie Centrum Kształcenia Zawodowego i Ustawicznego w Szczecinie - nadzór WEiS</t>
  </si>
  <si>
    <t>rozdz. 80130</t>
  </si>
  <si>
    <t>Przebudowa dróg wojewódzkich (2011-2015)</t>
  </si>
  <si>
    <t>Poręczenie pożyczki dla Regionalnego Szpitala w Kołobrzegu na dofinansowanie realizacji zadania inwestycyjnego pn. Poprawa efektywności energetycznej budynków Szpitala Regionalnego w Kołobrzegu (2016 - 2028)****</t>
  </si>
  <si>
    <t>Wypłata odszkodowań pod planowane inwestycje drogowe  (2012-2016)</t>
  </si>
  <si>
    <t>Podniesienie jakości i dostępności kardiologicznych usług medycznych w SPWSZ w Szczecinie poprzez modernizację szpitalnych oddziałów kardiologicznych w ramach osi VII RPO (2014-2016)</t>
  </si>
  <si>
    <t>Zwiększenie dostępności i jakości usług medycznych poprzez wyposażenie w sprzęt i urządzenia medyczne SPS ZOZ  Zdroje w Szczecinie w ramach osi VII RPO (2014-2016)</t>
  </si>
  <si>
    <t>Zrealizowane nakłady/
uzyskane dochody</t>
  </si>
  <si>
    <t xml:space="preserve">Zrealizowane nakłady/
uzyskane dochody </t>
  </si>
  <si>
    <t>Wydatki bieżące z budżetu</t>
  </si>
  <si>
    <t>Wydatki majątkowe z budżetu</t>
  </si>
  <si>
    <t xml:space="preserve"> - Gmina i Miasto Koszalin/ AZR</t>
  </si>
  <si>
    <t xml:space="preserve"> - WFOŚiGW/AZR</t>
  </si>
  <si>
    <t>Gospodarowanie nieruchomościami należącymi do zasobu Województwa Zachodniopomorskiego (2010-2016)</t>
  </si>
  <si>
    <t>Przebudowa drogi wojewódzkiej nr 120 - przejście przez Wełtyń w ramach IW INTERREG V A (2015-2016)</t>
  </si>
  <si>
    <t>wydatki (poz. 12.4.2.)</t>
  </si>
  <si>
    <r>
      <t xml:space="preserve">**** W latach 2024- 2028 kwota poręczenia dla Regionalnego Szpitala w Kołobrzegu wynosi </t>
    </r>
    <r>
      <rPr>
        <b/>
        <i/>
        <sz val="8"/>
        <rFont val="Arial CE"/>
        <charset val="238"/>
      </rPr>
      <t>1.050.002 zł.</t>
    </r>
  </si>
  <si>
    <r>
      <t xml:space="preserve">Wydatki </t>
    </r>
    <r>
      <rPr>
        <b/>
        <sz val="10"/>
        <rFont val="Arial"/>
        <family val="2"/>
        <charset val="238"/>
      </rPr>
      <t xml:space="preserve">płatności </t>
    </r>
    <r>
      <rPr>
        <sz val="10"/>
        <rFont val="Arial"/>
        <family val="2"/>
        <charset val="238"/>
      </rPr>
      <t>PT 2014-2020 - lata 2021-2023</t>
    </r>
  </si>
  <si>
    <r>
      <t>Architektoniczno - urbanistyczna koncepcja rozbudowy Teatru Polskiego w Szczecinie</t>
    </r>
    <r>
      <rPr>
        <sz val="9"/>
        <rFont val="Arial CE"/>
        <charset val="238"/>
      </rPr>
      <t xml:space="preserve"> w ramach RPO WZ, Osi VI: Rozwój  Funkcji Metropolitalnych</t>
    </r>
    <r>
      <rPr>
        <b/>
        <sz val="9"/>
        <rFont val="Arial CE"/>
        <charset val="238"/>
      </rPr>
      <t xml:space="preserve"> (2011-2015)</t>
    </r>
  </si>
  <si>
    <r>
      <t xml:space="preserve">Muzeum Narodowe w Szczecinie - Muzeum tradycji regionalnych </t>
    </r>
    <r>
      <rPr>
        <sz val="9"/>
        <rFont val="Arial CE"/>
        <charset val="238"/>
      </rPr>
      <t>w ramach RPO WZ, Osi VI: Rozwój Funkcji Metropolitalnych</t>
    </r>
    <r>
      <rPr>
        <b/>
        <sz val="9"/>
        <rFont val="Arial CE"/>
        <charset val="238"/>
      </rPr>
      <t xml:space="preserve"> (2014-2015)</t>
    </r>
  </si>
  <si>
    <r>
      <t xml:space="preserve">Poznaj Pomorze Zachodnie. Oznakowanie turystyczne regionu </t>
    </r>
    <r>
      <rPr>
        <sz val="9"/>
        <rFont val="Arial CE"/>
        <charset val="238"/>
      </rPr>
      <t xml:space="preserve">w ramach RPO WZ, Osi VI </t>
    </r>
    <r>
      <rPr>
        <b/>
        <sz val="9"/>
        <rFont val="Arial CE"/>
        <family val="2"/>
        <charset val="238"/>
      </rPr>
      <t>(2012-2015)</t>
    </r>
  </si>
  <si>
    <t>Regionalny Szpital 
w Kołobrzegu 
pod nadzorem Wydziału Zdrowia</t>
  </si>
  <si>
    <t>Sieć Punktów Informacyjnych Funduszy Europejskich (PIFE) w Województwie Zachodniopomorskim w ramach PO Pomoc Techniczna (2015-2020)</t>
  </si>
  <si>
    <t>Prognozowane nakłady inwestycyjne /dochody 
w latach 2016 - 2023</t>
  </si>
  <si>
    <t xml:space="preserve">Przewidywane wykonanie </t>
  </si>
  <si>
    <t>Prognozowane nakłady inwestycyjne / dochody z tytułu realizacji projektów 
w latach 2016-2023</t>
  </si>
  <si>
    <t>WYDATKI ŁĄCZNIE- Stan na 15 grudnia 2015 r.</t>
  </si>
  <si>
    <t>DOCHODY ŁĄCZNIE -  Stan na 15 grudnia 2015 r.</t>
  </si>
  <si>
    <r>
      <t xml:space="preserve">Prowadzenie Punktu Informacji Europejskiej Europe Direct - Szczecin </t>
    </r>
    <r>
      <rPr>
        <sz val="9"/>
        <color rgb="FF0000FF"/>
        <rFont val="Arial CE"/>
        <charset val="238"/>
      </rPr>
      <t xml:space="preserve">w ramach środków Komisji Europejskiej </t>
    </r>
    <r>
      <rPr>
        <b/>
        <sz val="9"/>
        <color rgb="FF0000FF"/>
        <rFont val="Arial CE"/>
        <charset val="238"/>
      </rPr>
      <t>(2013-2017)</t>
    </r>
  </si>
  <si>
    <t>II. POZOSTAŁE  PRZEDSIĘWZIĘCIA  W ZAKRESIE ROZWOJU REGIONALNEGO I PLANOWANIA PRZESTRZENNEGO</t>
  </si>
  <si>
    <t>rozdz. 71003</t>
  </si>
  <si>
    <t>C.</t>
  </si>
  <si>
    <t>D.</t>
  </si>
  <si>
    <r>
      <t xml:space="preserve">Oś transportowa północ-południe kierunkiem zwiększania innowacyjności i dynamiki regionów Europy Środkowej  </t>
    </r>
    <r>
      <rPr>
        <sz val="9"/>
        <color rgb="FF0000FF"/>
        <rFont val="Arial CE"/>
        <charset val="238"/>
      </rPr>
      <t>w ramach Funduszu Wyszehradzkiego</t>
    </r>
    <r>
      <rPr>
        <b/>
        <sz val="9"/>
        <color rgb="FF0000FF"/>
        <rFont val="Arial CE"/>
        <charset val="238"/>
      </rPr>
      <t xml:space="preserve"> (2014-2015)</t>
    </r>
  </si>
  <si>
    <r>
      <t xml:space="preserve">Zakup i modernizacja kolejowego taboru pasażerskiego o napędzie elektrycznym </t>
    </r>
    <r>
      <rPr>
        <sz val="9"/>
        <color rgb="FF0000FF"/>
        <rFont val="Arial CE"/>
        <family val="2"/>
        <charset val="238"/>
      </rPr>
      <t xml:space="preserve">w ramach Osi V RPO </t>
    </r>
    <r>
      <rPr>
        <b/>
        <sz val="9"/>
        <color rgb="FF0000FF"/>
        <rFont val="Arial CE"/>
        <family val="2"/>
        <charset val="238"/>
      </rPr>
      <t>(2014-2016)</t>
    </r>
  </si>
  <si>
    <r>
      <t xml:space="preserve">Zakup i modernizacja kolejowego taboru pasażerskiego o napędzie elektrycznym </t>
    </r>
    <r>
      <rPr>
        <sz val="9"/>
        <color rgb="FF0000FF"/>
        <rFont val="Arial CE"/>
        <family val="2"/>
        <charset val="238"/>
      </rPr>
      <t xml:space="preserve">w ramach Osi II RPO </t>
    </r>
    <r>
      <rPr>
        <b/>
        <sz val="9"/>
        <color rgb="FF0000FF"/>
        <rFont val="Arial CE"/>
        <family val="2"/>
        <charset val="238"/>
      </rPr>
      <t xml:space="preserve"> (2013-2015)</t>
    </r>
  </si>
  <si>
    <t xml:space="preserve">Wykonanie </t>
  </si>
  <si>
    <r>
      <t xml:space="preserve">Zakup pasażerskiego taboru kolejowego do obsługi połączeń międzywojewódzkich przez Województwa: Lubuskie i Zachodniopomorskie </t>
    </r>
    <r>
      <rPr>
        <sz val="9"/>
        <color rgb="FF0000FF"/>
        <rFont val="Arial CE"/>
        <family val="2"/>
        <charset val="238"/>
      </rPr>
      <t>w ramach PO Infrastruktura i Środowisko</t>
    </r>
    <r>
      <rPr>
        <b/>
        <sz val="9"/>
        <color rgb="FF0000FF"/>
        <rFont val="Arial CE"/>
        <family val="2"/>
        <charset val="238"/>
      </rPr>
      <t xml:space="preserve"> (2013-2015)</t>
    </r>
  </si>
  <si>
    <t>WYDATKI OGÓŁEM</t>
  </si>
  <si>
    <t>dotacje celowe / płatności z UE (w ramach działania 10.1 RPO WZ 2014-2020)</t>
  </si>
  <si>
    <t>dotacje celowe / płatności z UE (w ramach działania 2.13 RPO WZ 2014-2020)</t>
  </si>
  <si>
    <t>dotacje celowe / płatności z UE ( w ramach działania 2.1 RPO WZ 2014-2020)</t>
  </si>
  <si>
    <t>DOCHODY OGÓŁEM, z tego:</t>
  </si>
  <si>
    <t>DOCHODY OGÓŁEM</t>
  </si>
  <si>
    <t>Konsolidacja siedziby Urzędu Marszałkowskiego - etap A</t>
  </si>
  <si>
    <t>dotacje celowe / płatności z UE (w ramach działanie 10.1 RPO WZ 2014-2020)</t>
  </si>
  <si>
    <t>dotacje celowe / płatności z UE (w ramach działania 10.1  RPO WZ 2014-2020)</t>
  </si>
  <si>
    <t>dotacje celowe / płatności z UE (w ramach działania 2.13  RPO WZ 2014-2020)</t>
  </si>
  <si>
    <t>Konsolidacja siedziby Urzędu Marszałkowskiego - etap B</t>
  </si>
  <si>
    <t>dotacje celowe / płatności z UE ( w ramach działania 10.1 RPO WZ 2014-2020)</t>
  </si>
  <si>
    <t>dotacje celowe / płatności z UE (w ramach działania 2.1 RPO WZ 2014-2020)</t>
  </si>
  <si>
    <t>rozdział 75018</t>
  </si>
  <si>
    <t>środki poza budżetem</t>
  </si>
  <si>
    <r>
      <t xml:space="preserve">Pomorze Zachodnie - wszystko czego potrzebujesz. Promocja turystyczna Województwa Zachodniopomorskiego </t>
    </r>
    <r>
      <rPr>
        <sz val="9"/>
        <color rgb="FF0000FF"/>
        <rFont val="Arial CE"/>
        <charset val="238"/>
      </rPr>
      <t>w ramach RPO WZ, Osi VI</t>
    </r>
    <r>
      <rPr>
        <b/>
        <sz val="9"/>
        <color rgb="FF0000FF"/>
        <rFont val="Arial CE"/>
        <family val="2"/>
        <charset val="238"/>
      </rPr>
      <t xml:space="preserve"> (2013-2015)</t>
    </r>
  </si>
  <si>
    <r>
      <t xml:space="preserve">Poznaj Pomorze Zachodnie. Oznakowanie turystyczne regionu </t>
    </r>
    <r>
      <rPr>
        <sz val="9"/>
        <color rgb="FF0000FF"/>
        <rFont val="Arial CE"/>
        <family val="2"/>
        <charset val="238"/>
      </rPr>
      <t xml:space="preserve">w ramach RPO WZ, Osi VI </t>
    </r>
    <r>
      <rPr>
        <b/>
        <sz val="9"/>
        <color rgb="FF0000FF"/>
        <rFont val="Arial CE"/>
        <family val="2"/>
        <charset val="238"/>
      </rPr>
      <t>(2012-2015)</t>
    </r>
  </si>
  <si>
    <r>
      <t xml:space="preserve">MARRIAGE - Lepsze zarządzanie mariną, konsolidacja sieci przystani i marketingu turystyki wodnej w obszarze Południowego Bałtyku </t>
    </r>
    <r>
      <rPr>
        <sz val="9"/>
        <color rgb="FF0000FF"/>
        <rFont val="Arial CE"/>
        <charset val="238"/>
      </rPr>
      <t>w ramach Programu Współpracy Transgranicznej Południowy Bałtyk - EWT</t>
    </r>
    <r>
      <rPr>
        <b/>
        <sz val="9"/>
        <color rgb="FF0000FF"/>
        <rFont val="Arial CE"/>
        <family val="2"/>
        <charset val="238"/>
      </rPr>
      <t xml:space="preserve"> (2012-2015)</t>
    </r>
  </si>
  <si>
    <r>
      <t xml:space="preserve">Znaczenie nowoczesnych technologii w motywowaniu dorosłych z terenów defaworyzowanych do uczenia się </t>
    </r>
    <r>
      <rPr>
        <sz val="9"/>
        <color rgb="FF0000FF"/>
        <rFont val="Arial CE"/>
        <charset val="238"/>
      </rPr>
      <t>w ramach Programu LLP „Uczenie się przez całe życie” – GRUNDTVIG</t>
    </r>
    <r>
      <rPr>
        <b/>
        <sz val="9"/>
        <color rgb="FF0000FF"/>
        <rFont val="Arial CE"/>
        <charset val="238"/>
      </rPr>
      <t xml:space="preserve"> (2013-2015)</t>
    </r>
  </si>
  <si>
    <r>
      <t xml:space="preserve">Projekt pn. "Europejskie Standardy w Opiece nad Osobami Starszymi" </t>
    </r>
    <r>
      <rPr>
        <sz val="9"/>
        <color rgb="FF0000FF"/>
        <rFont val="Arial CE"/>
        <charset val="238"/>
      </rPr>
      <t>w ramach Programu Erasmus+</t>
    </r>
    <r>
      <rPr>
        <b/>
        <sz val="9"/>
        <color rgb="FF0000FF"/>
        <rFont val="Arial CE"/>
        <charset val="238"/>
      </rPr>
      <t xml:space="preserve"> (2015-2016)</t>
    </r>
  </si>
  <si>
    <r>
      <t xml:space="preserve">Przebudowa drogi woj. nr 114 na odcinku Trzebież - Police </t>
    </r>
    <r>
      <rPr>
        <sz val="9"/>
        <color rgb="FF0000FF"/>
        <rFont val="Arial CE"/>
        <family val="2"/>
        <charset val="238"/>
      </rPr>
      <t>w ramach Osi II RPO</t>
    </r>
    <r>
      <rPr>
        <b/>
        <sz val="9"/>
        <color rgb="FF0000FF"/>
        <rFont val="Arial CE"/>
        <family val="2"/>
        <charset val="238"/>
      </rPr>
      <t xml:space="preserve"> (2008-2016)</t>
    </r>
  </si>
  <si>
    <r>
      <t xml:space="preserve">Przebudowa drogi woj. nr 109 na odcinku Mrzeżyno - Trzebiatów </t>
    </r>
    <r>
      <rPr>
        <sz val="9"/>
        <color rgb="FF0000FF"/>
        <rFont val="Arial CE"/>
        <family val="2"/>
        <charset val="238"/>
      </rPr>
      <t xml:space="preserve">w ramach Osi II RPO </t>
    </r>
    <r>
      <rPr>
        <b/>
        <sz val="9"/>
        <color rgb="FF0000FF"/>
        <rFont val="Arial CE"/>
        <family val="2"/>
        <charset val="238"/>
      </rPr>
      <t>(2008-2016)</t>
    </r>
  </si>
  <si>
    <r>
      <t>Przebudowa drogi wojewódzkiej nr 109 na odcinku Trzebusz - Trzebiatów w</t>
    </r>
    <r>
      <rPr>
        <sz val="9"/>
        <color rgb="FF0000FF"/>
        <rFont val="Arial CE"/>
        <family val="2"/>
        <charset val="238"/>
      </rPr>
      <t xml:space="preserve"> ramach Osi V RPO</t>
    </r>
    <r>
      <rPr>
        <b/>
        <sz val="9"/>
        <color rgb="FF0000FF"/>
        <rFont val="Arial CE"/>
        <family val="2"/>
        <charset val="238"/>
      </rPr>
      <t xml:space="preserve"> (2015-2017)</t>
    </r>
  </si>
  <si>
    <r>
      <t xml:space="preserve">Przebudowa drogi woj. nr 163 na odcinku Czaplinek - Wałcz  (etap II i III) </t>
    </r>
    <r>
      <rPr>
        <sz val="9"/>
        <color rgb="FF0000FF"/>
        <rFont val="Arial CE"/>
        <charset val="238"/>
      </rPr>
      <t>w ramach Osi II RPO</t>
    </r>
    <r>
      <rPr>
        <b/>
        <sz val="9"/>
        <color rgb="FF0000FF"/>
        <rFont val="Arial CE"/>
        <charset val="238"/>
      </rPr>
      <t xml:space="preserve"> (2008-2016)</t>
    </r>
  </si>
  <si>
    <r>
      <t xml:space="preserve">Przebudowa drogi woj. nr 124 na odcinku Cedynia - Chojna </t>
    </r>
    <r>
      <rPr>
        <sz val="9"/>
        <color rgb="FF0000FF"/>
        <rFont val="Arial CE"/>
        <family val="2"/>
        <charset val="238"/>
      </rPr>
      <t>w ramach Osi II RPO</t>
    </r>
    <r>
      <rPr>
        <b/>
        <sz val="9"/>
        <color rgb="FF0000FF"/>
        <rFont val="Arial CE"/>
        <family val="2"/>
        <charset val="238"/>
      </rPr>
      <t xml:space="preserve"> (2008-2015)</t>
    </r>
  </si>
  <si>
    <r>
      <t xml:space="preserve">Przebudowa drogi woj. nr 203 na odcinku Koszalin - Iwięcino </t>
    </r>
    <r>
      <rPr>
        <sz val="9"/>
        <color rgb="FF0000FF"/>
        <rFont val="Arial CE"/>
        <family val="2"/>
        <charset val="238"/>
      </rPr>
      <t>w ramach Osi II RPO</t>
    </r>
    <r>
      <rPr>
        <b/>
        <sz val="9"/>
        <color rgb="FF0000FF"/>
        <rFont val="Arial CE"/>
        <family val="2"/>
        <charset val="238"/>
      </rPr>
      <t xml:space="preserve"> (2007-2016)</t>
    </r>
  </si>
  <si>
    <r>
      <t xml:space="preserve">Przebudowa drogi wojewódzkiej nr 203 na odcinku Dąbki - Darłowo </t>
    </r>
    <r>
      <rPr>
        <sz val="9"/>
        <color rgb="FF0000FF"/>
        <rFont val="Arial CE"/>
        <family val="2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(2007-2017)</t>
    </r>
  </si>
  <si>
    <r>
      <t xml:space="preserve">Przebudowa drogi wojewódzkiej nr 205 na odcinku Sławno - Polanów, etap przebudowy i rozbudowy przejścia przez m. Sławno </t>
    </r>
    <r>
      <rPr>
        <sz val="9"/>
        <color rgb="FF0000FF"/>
        <rFont val="Arial CE"/>
        <family val="2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(2011-2016)</t>
    </r>
  </si>
  <si>
    <r>
      <t xml:space="preserve">Przebudowa drogi woj. nr 203 na odcinku Iwięcino - Darłowo, etap I Iwięcino - Dąbki </t>
    </r>
    <r>
      <rPr>
        <sz val="9"/>
        <color rgb="FF0000FF"/>
        <rFont val="Arial CE"/>
        <family val="2"/>
        <charset val="238"/>
      </rPr>
      <t xml:space="preserve">w ramach Osi II RPO </t>
    </r>
    <r>
      <rPr>
        <b/>
        <sz val="9"/>
        <color rgb="FF0000FF"/>
        <rFont val="Arial CE"/>
        <family val="2"/>
        <charset val="238"/>
      </rPr>
      <t>(2007-2016)</t>
    </r>
  </si>
  <si>
    <t>rodz. 
75863</t>
  </si>
  <si>
    <r>
      <t xml:space="preserve">Zakup kolejowego taboru pasażerskiego o napędzie spalinowym </t>
    </r>
    <r>
      <rPr>
        <sz val="9"/>
        <color rgb="FF0000FF"/>
        <rFont val="Arial CE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(2016-2017)</t>
    </r>
  </si>
  <si>
    <r>
      <t xml:space="preserve">Zakup kolejowego taboru pasażerskiego o napędzie elektrycznym </t>
    </r>
    <r>
      <rPr>
        <sz val="9"/>
        <color rgb="FF0000FF"/>
        <rFont val="Arial CE"/>
        <charset val="238"/>
      </rPr>
      <t>w ramach Osi V RPO</t>
    </r>
    <r>
      <rPr>
        <b/>
        <sz val="9"/>
        <color rgb="FF0000FF"/>
        <rFont val="Arial CE"/>
        <family val="2"/>
        <charset val="238"/>
      </rPr>
      <t xml:space="preserve"> (2016-2018)</t>
    </r>
  </si>
  <si>
    <t>24.</t>
  </si>
  <si>
    <t>25.</t>
  </si>
  <si>
    <t>TENTacle – wykorzystanie korytarzy sieci bazowej TEN-T w ramach IW INTERREG VB (2016-2019)</t>
  </si>
  <si>
    <t>m</t>
  </si>
  <si>
    <t>b</t>
  </si>
  <si>
    <t>Konsolidacja UM dochody</t>
  </si>
  <si>
    <t>rozdz. 75863
75864</t>
  </si>
  <si>
    <t>► różnica na turystyce</t>
  </si>
  <si>
    <t>DOCHODY ŁĄCZNIE  -Stan na 26 kwietnia 2016 r.</t>
  </si>
  <si>
    <t>WYDATKI ŁĄCZNIE- Stan na  26 kwietnia 2016 r.</t>
  </si>
  <si>
    <t>PROJEKTY WYŁĄCZANE Z WPF</t>
  </si>
  <si>
    <t>Lp.</t>
  </si>
  <si>
    <t>Wydatki</t>
  </si>
  <si>
    <t>Dochody</t>
  </si>
  <si>
    <t>RAZEM  ZMNIEJSZENIE DOCHODÓW /  WYDATKÓW</t>
  </si>
  <si>
    <t>Budowa obejścia w m. Gościno w ciągu drogi nr 162 w ramach Osi II RPO (2010-2014)</t>
  </si>
  <si>
    <t>19.</t>
  </si>
  <si>
    <t>Przebudowa i rozbudowa przejścia drogowego przez m. Krzywin na drodze woj. Nr 122 w ramach IW INTERREG IV A (2010-2015)</t>
  </si>
  <si>
    <t>21.</t>
  </si>
  <si>
    <t>► różnica na drodze Wełtyń i oświacie (37 zł)</t>
  </si>
  <si>
    <t>WOiRZL</t>
  </si>
  <si>
    <t>Umowa leasingu samochodu osobowego (2016 - 2019)</t>
  </si>
  <si>
    <t xml:space="preserve">Wsparcie gmin w opracowaniu albo aktualizacji programów rewitalizacji w ramach PO Pomoc Techniczna (2016 - 2018) </t>
  </si>
  <si>
    <t>Konsolidacja siedziby Urzędu Marszałkowskiego - razem 
etap A i B w ramach  RPO WZ 2014 - 2020 (2016-2020)</t>
  </si>
  <si>
    <r>
      <t xml:space="preserve">Poznaj Pomorze Zachodnie. Oznakowanie turystyczne regionu </t>
    </r>
    <r>
      <rPr>
        <sz val="9"/>
        <color rgb="FF0000FF"/>
        <rFont val="Arial CE"/>
        <charset val="238"/>
      </rPr>
      <t>w ramach RPO WZ, Osi V</t>
    </r>
    <r>
      <rPr>
        <b/>
        <sz val="9"/>
        <color rgb="FF0000FF"/>
        <rFont val="Arial CE"/>
        <family val="2"/>
        <charset val="238"/>
      </rPr>
      <t xml:space="preserve"> (2012-2016)</t>
    </r>
  </si>
  <si>
    <r>
      <t xml:space="preserve">Dokumentacje techniczne na drogowe zadania inwestycyjne </t>
    </r>
    <r>
      <rPr>
        <sz val="9"/>
        <color rgb="FF0000FF"/>
        <rFont val="Arial CE"/>
        <charset val="238"/>
      </rPr>
      <t>w ramach Osi V RPO</t>
    </r>
    <r>
      <rPr>
        <b/>
        <sz val="9"/>
        <color rgb="FF0000FF"/>
        <rFont val="Arial CE"/>
        <charset val="238"/>
      </rPr>
      <t xml:space="preserve"> (2016-2018)</t>
    </r>
  </si>
  <si>
    <t>dochody (poz. 12.2.1.1.) do odjęcia z poz 12.2.1</t>
  </si>
  <si>
    <t>wydatki bieżące</t>
  </si>
  <si>
    <t>wydatki majątkowe</t>
  </si>
  <si>
    <t>9a</t>
  </si>
  <si>
    <t>9b</t>
  </si>
  <si>
    <t>9c</t>
  </si>
  <si>
    <t>9d</t>
  </si>
  <si>
    <t>Wydział Administracyjny
Wydział Społeczeństwa Informacyjnego i Informatyki</t>
  </si>
  <si>
    <t>Regionalne Biuro Gospodarki Przestrzennej Województwa Zachodniopomorskiego w Szczecinie pod nadzorem WZS</t>
  </si>
  <si>
    <t>Oś Priorytetowa VI, Pomoc Techniczna w ramach  PO WER 2014 - 2020 (2015-2018)</t>
  </si>
  <si>
    <t>Oś Priorytetowa VI, Pomoc Techniczna w ramach  PO WER 2014-2020 - wydatki majątkowe (2015-2018)</t>
  </si>
  <si>
    <r>
      <t xml:space="preserve">Przebudowa Opery na Zamku w Szczecinie </t>
    </r>
    <r>
      <rPr>
        <sz val="9"/>
        <color theme="1"/>
        <rFont val="Arial CE"/>
        <charset val="238"/>
      </rPr>
      <t>w ramach RPO WZ, Osi VI: Rozwój  Funkcji Metropolitalnych</t>
    </r>
    <r>
      <rPr>
        <b/>
        <sz val="9"/>
        <color theme="1"/>
        <rFont val="Arial CE"/>
        <charset val="238"/>
      </rPr>
      <t xml:space="preserve"> (2009 - 2015)</t>
    </r>
  </si>
  <si>
    <r>
      <t xml:space="preserve">Modernizacja skrzydła północnego Zamku Książąt Pomorskich w Szczecinie </t>
    </r>
    <r>
      <rPr>
        <sz val="9"/>
        <color theme="1"/>
        <rFont val="Arial CE"/>
        <charset val="238"/>
      </rPr>
      <t>w ramach RPO WZ, Osi VI: Rozwój Funkcji Metropolitalnych</t>
    </r>
    <r>
      <rPr>
        <b/>
        <sz val="9"/>
        <color theme="1"/>
        <rFont val="Arial CE"/>
        <charset val="238"/>
      </rPr>
      <t xml:space="preserve"> (2012-2015)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</si>
</sst>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#,##0.000"/>
    <numFmt numFmtId="165" formatCode="#,##0.0"/>
    <numFmt numFmtId="166" formatCode="0.0"/>
    <numFmt numFmtId="167" formatCode="0.0%"/>
    <numFmt numFmtId="168" formatCode="#,##0_ ;\-#,##0\ "/>
  </numFmts>
  <fonts count="200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 CE"/>
      <family val="2"/>
      <charset val="238"/>
    </font>
    <font>
      <i/>
      <sz val="8"/>
      <color indexed="8"/>
      <name val="Arial CE"/>
      <charset val="238"/>
    </font>
    <font>
      <b/>
      <i/>
      <sz val="12"/>
      <color indexed="8"/>
      <name val="Arial CE"/>
      <charset val="238"/>
    </font>
    <font>
      <i/>
      <sz val="12"/>
      <color indexed="8"/>
      <name val="Arial CE"/>
      <charset val="238"/>
    </font>
    <font>
      <sz val="10"/>
      <color indexed="8"/>
      <name val="Arial"/>
      <family val="2"/>
      <charset val="238"/>
    </font>
    <font>
      <i/>
      <sz val="9"/>
      <color indexed="8"/>
      <name val="Arial CE"/>
      <charset val="238"/>
    </font>
    <font>
      <b/>
      <sz val="18"/>
      <color indexed="8"/>
      <name val="Arial CE"/>
      <charset val="238"/>
    </font>
    <font>
      <b/>
      <sz val="16"/>
      <color indexed="8"/>
      <name val="Arial CE"/>
      <charset val="238"/>
    </font>
    <font>
      <b/>
      <sz val="16"/>
      <color indexed="8"/>
      <name val="Arial CE"/>
      <family val="2"/>
      <charset val="238"/>
    </font>
    <font>
      <b/>
      <sz val="14"/>
      <color indexed="8"/>
      <name val="Arial CE"/>
      <charset val="238"/>
    </font>
    <font>
      <b/>
      <sz val="10"/>
      <color indexed="8"/>
      <name val="Arial CE"/>
      <family val="2"/>
      <charset val="238"/>
    </font>
    <font>
      <b/>
      <sz val="10"/>
      <color indexed="8"/>
      <name val="Arial CE"/>
      <charset val="238"/>
    </font>
    <font>
      <b/>
      <sz val="10"/>
      <color indexed="8"/>
      <name val="Arial"/>
      <family val="2"/>
      <charset val="238"/>
    </font>
    <font>
      <sz val="10"/>
      <name val="Arial CE"/>
      <charset val="238"/>
    </font>
    <font>
      <sz val="9"/>
      <color indexed="8"/>
      <name val="Arial CE"/>
      <family val="2"/>
      <charset val="238"/>
    </font>
    <font>
      <b/>
      <sz val="11"/>
      <color indexed="8"/>
      <name val="Arial CE"/>
      <family val="2"/>
      <charset val="238"/>
    </font>
    <font>
      <sz val="10"/>
      <color indexed="8"/>
      <name val="Arial CE"/>
      <charset val="238"/>
    </font>
    <font>
      <sz val="11"/>
      <color indexed="8"/>
      <name val="Arial CE"/>
      <family val="2"/>
      <charset val="238"/>
    </font>
    <font>
      <b/>
      <i/>
      <sz val="10"/>
      <color indexed="8"/>
      <name val="Arial CE"/>
      <family val="2"/>
      <charset val="238"/>
    </font>
    <font>
      <b/>
      <sz val="11"/>
      <color indexed="8"/>
      <name val="Arial CE"/>
      <charset val="238"/>
    </font>
    <font>
      <b/>
      <i/>
      <sz val="10"/>
      <color indexed="8"/>
      <name val="Arial CE"/>
      <charset val="238"/>
    </font>
    <font>
      <b/>
      <sz val="11"/>
      <color indexed="8"/>
      <name val="Arial"/>
      <family val="2"/>
      <charset val="238"/>
    </font>
    <font>
      <b/>
      <sz val="12"/>
      <color indexed="8"/>
      <name val="Arial CE"/>
      <charset val="238"/>
    </font>
    <font>
      <b/>
      <i/>
      <sz val="9"/>
      <color indexed="8"/>
      <name val="Arial CE"/>
      <charset val="238"/>
    </font>
    <font>
      <b/>
      <i/>
      <sz val="9"/>
      <color indexed="8"/>
      <name val="Arial CE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1"/>
      <color indexed="8"/>
      <name val="Arial CE"/>
      <charset val="238"/>
    </font>
    <font>
      <sz val="11"/>
      <color indexed="8"/>
      <name val="Arial CE"/>
      <charset val="238"/>
    </font>
    <font>
      <i/>
      <sz val="10"/>
      <color indexed="8"/>
      <name val="Arial"/>
      <family val="2"/>
      <charset val="238"/>
    </font>
    <font>
      <i/>
      <sz val="11"/>
      <color indexed="8"/>
      <name val="Arial CE"/>
      <charset val="238"/>
    </font>
    <font>
      <b/>
      <sz val="9"/>
      <color indexed="8"/>
      <name val="Arial CE"/>
      <family val="2"/>
      <charset val="238"/>
    </font>
    <font>
      <b/>
      <sz val="9"/>
      <color indexed="8"/>
      <name val="Arial CE"/>
      <charset val="238"/>
    </font>
    <font>
      <sz val="9"/>
      <name val="Arial CE"/>
      <family val="2"/>
      <charset val="238"/>
    </font>
    <font>
      <sz val="10"/>
      <name val="Arial CE"/>
      <family val="2"/>
      <charset val="238"/>
    </font>
    <font>
      <i/>
      <sz val="10"/>
      <color indexed="8"/>
      <name val="Arial CE"/>
      <charset val="238"/>
    </font>
    <font>
      <i/>
      <sz val="10"/>
      <color indexed="8"/>
      <name val="Arial CE"/>
      <family val="2"/>
      <charset val="238"/>
    </font>
    <font>
      <b/>
      <sz val="8"/>
      <color indexed="8"/>
      <name val="Arial CE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12"/>
      <name val="Arial CE"/>
      <charset val="238"/>
    </font>
    <font>
      <i/>
      <sz val="12"/>
      <name val="Arial CE"/>
      <charset val="238"/>
    </font>
    <font>
      <i/>
      <sz val="8"/>
      <name val="Arial CE"/>
      <charset val="238"/>
    </font>
    <font>
      <b/>
      <i/>
      <sz val="14"/>
      <name val="Arial"/>
      <family val="2"/>
      <charset val="238"/>
    </font>
    <font>
      <b/>
      <i/>
      <sz val="14"/>
      <name val="Arial CE"/>
      <charset val="238"/>
    </font>
    <font>
      <b/>
      <sz val="14"/>
      <name val="Arial CE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b/>
      <sz val="10"/>
      <name val="Arial CE"/>
      <family val="2"/>
      <charset val="238"/>
    </font>
    <font>
      <b/>
      <sz val="8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b/>
      <sz val="8"/>
      <name val="Arial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b/>
      <i/>
      <sz val="9"/>
      <name val="Arial CE"/>
      <family val="2"/>
      <charset val="238"/>
    </font>
    <font>
      <b/>
      <i/>
      <sz val="8"/>
      <name val="Arial CE"/>
      <family val="2"/>
      <charset val="238"/>
    </font>
    <font>
      <sz val="9"/>
      <name val="Arial CE"/>
      <charset val="238"/>
    </font>
    <font>
      <sz val="9"/>
      <name val="Arial"/>
      <family val="2"/>
      <charset val="238"/>
    </font>
    <font>
      <b/>
      <i/>
      <sz val="9"/>
      <name val="Arial"/>
      <family val="2"/>
      <charset val="238"/>
    </font>
    <font>
      <sz val="12"/>
      <name val="Arial CE"/>
      <family val="2"/>
      <charset val="238"/>
    </font>
    <font>
      <b/>
      <i/>
      <sz val="8"/>
      <name val="Arial CE"/>
      <charset val="238"/>
    </font>
    <font>
      <b/>
      <i/>
      <sz val="8"/>
      <name val="Arial"/>
      <family val="2"/>
      <charset val="238"/>
    </font>
    <font>
      <b/>
      <sz val="10"/>
      <name val="Arial CE"/>
      <charset val="238"/>
    </font>
    <font>
      <b/>
      <sz val="10"/>
      <name val="Arial"/>
      <family val="2"/>
      <charset val="238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sz val="7"/>
      <name val="Arial CE"/>
      <charset val="238"/>
    </font>
    <font>
      <i/>
      <sz val="9"/>
      <name val="Arial CE"/>
      <family val="2"/>
      <charset val="238"/>
    </font>
    <font>
      <sz val="10"/>
      <color theme="1"/>
      <name val="Arial CE"/>
      <charset val="238"/>
    </font>
    <font>
      <b/>
      <sz val="16"/>
      <name val="Arial CE"/>
      <charset val="238"/>
    </font>
    <font>
      <b/>
      <sz val="10"/>
      <color indexed="10"/>
      <name val="Arial CE"/>
      <family val="2"/>
      <charset val="238"/>
    </font>
    <font>
      <sz val="9"/>
      <color indexed="10"/>
      <name val="Arial CE"/>
      <family val="2"/>
      <charset val="238"/>
    </font>
    <font>
      <sz val="11"/>
      <name val="Arial CE"/>
      <family val="2"/>
      <charset val="238"/>
    </font>
    <font>
      <b/>
      <sz val="11"/>
      <name val="Arial"/>
      <family val="2"/>
      <charset val="238"/>
    </font>
    <font>
      <i/>
      <sz val="10"/>
      <name val="Arial"/>
      <family val="2"/>
      <charset val="238"/>
    </font>
    <font>
      <b/>
      <i/>
      <sz val="16"/>
      <name val="Arial"/>
      <family val="2"/>
      <charset val="238"/>
    </font>
    <font>
      <sz val="16"/>
      <name val="Arial"/>
      <family val="2"/>
      <charset val="238"/>
    </font>
    <font>
      <b/>
      <sz val="14"/>
      <name val="Arial CE"/>
      <charset val="238"/>
    </font>
    <font>
      <sz val="10"/>
      <color indexed="10"/>
      <name val="Arial"/>
      <family val="2"/>
      <charset val="238"/>
    </font>
    <font>
      <b/>
      <i/>
      <sz val="16"/>
      <color indexed="10"/>
      <name val="Arial"/>
      <family val="2"/>
      <charset val="238"/>
    </font>
    <font>
      <b/>
      <sz val="11"/>
      <color indexed="1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4"/>
      <color indexed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6"/>
      <color rgb="FF000000"/>
      <name val="Arial"/>
      <family val="2"/>
      <charset val="238"/>
    </font>
    <font>
      <sz val="1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b/>
      <sz val="16"/>
      <color indexed="23"/>
      <name val="Arial"/>
      <family val="2"/>
      <charset val="238"/>
    </font>
    <font>
      <sz val="10"/>
      <color indexed="10"/>
      <name val="Arial"/>
      <family val="2"/>
    </font>
    <font>
      <i/>
      <sz val="8"/>
      <name val="Arial CE"/>
      <family val="2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b/>
      <sz val="10"/>
      <color rgb="FF0000FF"/>
      <name val="Arial"/>
      <family val="2"/>
      <charset val="238"/>
    </font>
    <font>
      <b/>
      <sz val="10"/>
      <color rgb="FF0000FF"/>
      <name val="Arial CE"/>
      <family val="2"/>
      <charset val="238"/>
    </font>
    <font>
      <b/>
      <sz val="10"/>
      <color rgb="FF0000FF"/>
      <name val="Arial CE"/>
      <charset val="238"/>
    </font>
    <font>
      <b/>
      <i/>
      <sz val="10"/>
      <name val="Arial"/>
      <family val="2"/>
      <charset val="238"/>
    </font>
    <font>
      <sz val="8"/>
      <color rgb="FF0000FF"/>
      <name val="Arial CE"/>
      <family val="2"/>
      <charset val="238"/>
    </font>
    <font>
      <b/>
      <sz val="11"/>
      <color rgb="FFFF0000"/>
      <name val="Arial CE"/>
      <charset val="238"/>
    </font>
    <font>
      <b/>
      <i/>
      <sz val="12"/>
      <name val="Arial Black"/>
      <family val="2"/>
      <charset val="238"/>
    </font>
    <font>
      <b/>
      <sz val="9"/>
      <color rgb="FF0000FF"/>
      <name val="Arial CE"/>
      <family val="2"/>
      <charset val="238"/>
    </font>
    <font>
      <sz val="9"/>
      <color rgb="FF0000FF"/>
      <name val="Arial CE"/>
      <charset val="238"/>
    </font>
    <font>
      <b/>
      <sz val="9"/>
      <color rgb="FF0000FF"/>
      <name val="Arial Black"/>
      <family val="2"/>
      <charset val="238"/>
    </font>
    <font>
      <sz val="9"/>
      <color rgb="FF0000FF"/>
      <name val="Arial CE"/>
      <family val="2"/>
      <charset val="238"/>
    </font>
    <font>
      <b/>
      <sz val="9"/>
      <color rgb="FF0000FF"/>
      <name val="Arial CE"/>
      <charset val="238"/>
    </font>
    <font>
      <b/>
      <i/>
      <sz val="9"/>
      <color rgb="FF0000FF"/>
      <name val="Arial CE"/>
      <charset val="238"/>
    </font>
    <font>
      <sz val="8"/>
      <color rgb="FF0000FF"/>
      <name val="Arial CE"/>
      <charset val="238"/>
    </font>
    <font>
      <sz val="8"/>
      <color rgb="FF0000FF"/>
      <name val="Arial"/>
      <family val="2"/>
      <charset val="238"/>
    </font>
    <font>
      <sz val="9"/>
      <color rgb="FF0000FF"/>
      <name val="Arial"/>
      <family val="2"/>
      <charset val="238"/>
    </font>
    <font>
      <b/>
      <sz val="11"/>
      <color indexed="18"/>
      <name val="Arial Black"/>
      <family val="2"/>
      <charset val="238"/>
    </font>
    <font>
      <b/>
      <sz val="12"/>
      <color rgb="FF0000FF"/>
      <name val="Arial CE"/>
      <charset val="238"/>
    </font>
    <font>
      <sz val="11"/>
      <color rgb="FF0000FF"/>
      <name val="Arial CE"/>
      <charset val="238"/>
    </font>
    <font>
      <b/>
      <sz val="11"/>
      <color rgb="FF0000FF"/>
      <name val="Arial CE"/>
      <charset val="238"/>
    </font>
    <font>
      <sz val="10"/>
      <color rgb="FF0000FF"/>
      <name val="Arial"/>
      <family val="2"/>
      <charset val="238"/>
    </font>
    <font>
      <sz val="11"/>
      <color rgb="FFFF0000"/>
      <name val="Arial CE"/>
      <family val="2"/>
      <charset val="238"/>
    </font>
    <font>
      <sz val="9"/>
      <color rgb="FFFF0000"/>
      <name val="Arial CE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i/>
      <sz val="10"/>
      <color rgb="FF0000FF"/>
      <name val="Arial"/>
      <family val="2"/>
      <charset val="238"/>
    </font>
    <font>
      <sz val="10"/>
      <color rgb="FF0000FF"/>
      <name val="Arial CE"/>
      <family val="2"/>
      <charset val="238"/>
    </font>
    <font>
      <sz val="10"/>
      <color rgb="FF0000FF"/>
      <name val="Arial CE"/>
      <charset val="238"/>
    </font>
    <font>
      <b/>
      <sz val="10"/>
      <color rgb="FFFF0000"/>
      <name val="Arial CE"/>
      <family val="2"/>
      <charset val="238"/>
    </font>
    <font>
      <b/>
      <sz val="11"/>
      <color rgb="FFFF0000"/>
      <name val="Arial CE"/>
      <family val="2"/>
      <charset val="238"/>
    </font>
    <font>
      <b/>
      <i/>
      <sz val="10"/>
      <color rgb="FFFF0000"/>
      <name val="Arial CE"/>
      <family val="2"/>
      <charset val="238"/>
    </font>
    <font>
      <b/>
      <i/>
      <sz val="11"/>
      <color rgb="FFFF0000"/>
      <name val="Arial CE"/>
      <family val="2"/>
      <charset val="238"/>
    </font>
    <font>
      <b/>
      <sz val="16"/>
      <color rgb="FFFF0000"/>
      <name val="Arial CE"/>
      <charset val="238"/>
    </font>
    <font>
      <b/>
      <sz val="10"/>
      <color rgb="FFFF0000"/>
      <name val="Arial CE"/>
      <charset val="238"/>
    </font>
    <font>
      <sz val="10"/>
      <color rgb="FFFF0000"/>
      <name val="Arial CE"/>
      <charset val="238"/>
    </font>
    <font>
      <i/>
      <sz val="10"/>
      <color rgb="FF0000FF"/>
      <name val="Arial CE"/>
      <charset val="238"/>
    </font>
    <font>
      <b/>
      <sz val="11"/>
      <color rgb="FF0000FF"/>
      <name val="Arial CE"/>
      <family val="2"/>
      <charset val="238"/>
    </font>
    <font>
      <i/>
      <sz val="10"/>
      <color rgb="FF0000FF"/>
      <name val="Arial CE"/>
      <family val="2"/>
      <charset val="238"/>
    </font>
    <font>
      <b/>
      <sz val="11"/>
      <color rgb="FF0000FF"/>
      <name val="Arial"/>
      <family val="2"/>
      <charset val="238"/>
    </font>
    <font>
      <b/>
      <i/>
      <sz val="10"/>
      <color rgb="FF0000FF"/>
      <name val="Arial CE"/>
      <charset val="238"/>
    </font>
    <font>
      <b/>
      <sz val="9"/>
      <color rgb="FF0000FF"/>
      <name val="Arial"/>
      <family val="2"/>
      <charset val="238"/>
    </font>
    <font>
      <b/>
      <i/>
      <sz val="9"/>
      <color rgb="FF0000FF"/>
      <name val="Arial"/>
      <family val="2"/>
      <charset val="238"/>
    </font>
    <font>
      <b/>
      <sz val="8"/>
      <color rgb="FF0000FF"/>
      <name val="Arial CE"/>
      <charset val="238"/>
    </font>
    <font>
      <sz val="10"/>
      <color rgb="FFFF0000"/>
      <name val="Arial"/>
      <family val="2"/>
      <charset val="238"/>
    </font>
    <font>
      <b/>
      <sz val="8"/>
      <color rgb="FF0000FF"/>
      <name val="Arial CE"/>
      <family val="2"/>
      <charset val="238"/>
    </font>
    <font>
      <b/>
      <sz val="7"/>
      <color rgb="FF0000FF"/>
      <name val="Arial CE"/>
      <family val="2"/>
      <charset val="238"/>
    </font>
    <font>
      <sz val="7"/>
      <color rgb="FF0000FF"/>
      <name val="Arial"/>
      <family val="2"/>
      <charset val="238"/>
    </font>
    <font>
      <b/>
      <sz val="14"/>
      <color rgb="FF0000FF"/>
      <name val="Arial CE"/>
      <family val="2"/>
      <charset val="238"/>
    </font>
    <font>
      <sz val="12"/>
      <color rgb="FF0000FF"/>
      <name val="Arial CE"/>
      <family val="2"/>
      <charset val="238"/>
    </font>
    <font>
      <b/>
      <i/>
      <sz val="8"/>
      <color rgb="FF0000FF"/>
      <name val="Arial CE"/>
      <family val="2"/>
      <charset val="238"/>
    </font>
    <font>
      <b/>
      <i/>
      <sz val="9"/>
      <color rgb="FF0000FF"/>
      <name val="Arial CE"/>
      <family val="2"/>
      <charset val="238"/>
    </font>
    <font>
      <b/>
      <i/>
      <sz val="8"/>
      <color rgb="FF0000FF"/>
      <name val="Arial CE"/>
      <charset val="238"/>
    </font>
    <font>
      <b/>
      <sz val="11"/>
      <name val="Arial CE"/>
      <charset val="238"/>
    </font>
    <font>
      <b/>
      <sz val="8"/>
      <color rgb="FFFF0000"/>
      <name val="Arial CE"/>
      <family val="2"/>
      <charset val="238"/>
    </font>
    <font>
      <i/>
      <sz val="9"/>
      <color rgb="FFFF0000"/>
      <name val="Arial CE"/>
      <charset val="238"/>
    </font>
    <font>
      <i/>
      <sz val="9"/>
      <color rgb="FF0000FF"/>
      <name val="Arial CE"/>
      <charset val="238"/>
    </font>
    <font>
      <i/>
      <sz val="9"/>
      <color rgb="FF0000FF"/>
      <name val="Arial"/>
      <family val="2"/>
      <charset val="238"/>
    </font>
    <font>
      <i/>
      <sz val="9"/>
      <color rgb="FF0000FF"/>
      <name val="Arial CE"/>
      <family val="2"/>
      <charset val="238"/>
    </font>
    <font>
      <b/>
      <i/>
      <sz val="8"/>
      <color rgb="FF0000FF"/>
      <name val="Arial"/>
      <family val="2"/>
      <charset val="238"/>
    </font>
    <font>
      <b/>
      <sz val="8"/>
      <color rgb="FF0000FF"/>
      <name val="Arial"/>
      <family val="2"/>
      <charset val="238"/>
    </font>
    <font>
      <b/>
      <sz val="9"/>
      <color rgb="FFFF0000"/>
      <name val="Arial CE"/>
      <family val="2"/>
      <charset val="238"/>
    </font>
    <font>
      <b/>
      <i/>
      <sz val="10"/>
      <color rgb="FFFF0000"/>
      <name val="Arial CE"/>
      <charset val="238"/>
    </font>
    <font>
      <b/>
      <sz val="12"/>
      <color indexed="8"/>
      <name val="Bookman Old Style"/>
      <family val="1"/>
      <charset val="238"/>
    </font>
    <font>
      <b/>
      <i/>
      <sz val="11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sz val="10"/>
      <color theme="1"/>
      <name val="Bookman Old Style"/>
      <family val="1"/>
      <charset val="238"/>
    </font>
    <font>
      <sz val="11"/>
      <color theme="1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sz val="12"/>
      <color theme="1"/>
      <name val="Bookman Old Style"/>
      <family val="1"/>
      <charset val="238"/>
    </font>
    <font>
      <b/>
      <i/>
      <sz val="9"/>
      <color rgb="FFFF0000"/>
      <name val="Arial CE"/>
      <family val="2"/>
      <charset val="238"/>
    </font>
    <font>
      <b/>
      <sz val="8"/>
      <color theme="1"/>
      <name val="Arial CE"/>
      <charset val="238"/>
    </font>
    <font>
      <b/>
      <sz val="9"/>
      <color theme="1"/>
      <name val="Arial CE"/>
      <charset val="238"/>
    </font>
    <font>
      <sz val="9"/>
      <color theme="1"/>
      <name val="Arial CE"/>
      <charset val="238"/>
    </font>
    <font>
      <sz val="8"/>
      <color theme="1"/>
      <name val="Arial CE"/>
      <charset val="238"/>
    </font>
    <font>
      <b/>
      <i/>
      <sz val="9"/>
      <color theme="1"/>
      <name val="Arial CE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 CE"/>
      <family val="2"/>
      <charset val="238"/>
    </font>
    <font>
      <b/>
      <sz val="8"/>
      <color theme="1"/>
      <name val="Arial CE"/>
      <family val="2"/>
      <charset val="238"/>
    </font>
    <font>
      <sz val="8"/>
      <color theme="1"/>
      <name val="Arial CE"/>
      <family val="2"/>
      <charset val="238"/>
    </font>
    <font>
      <b/>
      <sz val="10"/>
      <color theme="1"/>
      <name val="Arial CE"/>
      <family val="2"/>
      <charset val="238"/>
    </font>
    <font>
      <b/>
      <sz val="9"/>
      <color theme="1"/>
      <name val="Arial CE"/>
      <family val="2"/>
      <charset val="238"/>
    </font>
    <font>
      <sz val="8"/>
      <color theme="1"/>
      <name val="Arial"/>
      <family val="2"/>
      <charset val="238"/>
    </font>
    <font>
      <i/>
      <sz val="9"/>
      <color theme="1"/>
      <name val="Arial CE"/>
      <charset val="238"/>
    </font>
    <font>
      <b/>
      <i/>
      <sz val="9"/>
      <color theme="1"/>
      <name val="Arial CE"/>
      <family val="2"/>
      <charset val="238"/>
    </font>
    <font>
      <i/>
      <sz val="10"/>
      <color theme="1"/>
      <name val="Arial"/>
      <family val="2"/>
      <charset val="238"/>
    </font>
    <font>
      <sz val="9"/>
      <color theme="1"/>
      <name val="Arial CE"/>
      <family val="2"/>
      <charset val="238"/>
    </font>
    <font>
      <b/>
      <i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</fonts>
  <fills count="6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42"/>
        <bgColor indexed="27"/>
      </patternFill>
    </fill>
    <fill>
      <patternFill patternType="solid">
        <fgColor indexed="47"/>
        <bgColor indexed="64"/>
      </patternFill>
    </fill>
    <fill>
      <patternFill patternType="mediumGray">
        <fgColor indexed="42"/>
        <bgColor indexed="47"/>
      </patternFill>
    </fill>
    <fill>
      <patternFill patternType="solid">
        <fgColor indexed="42"/>
        <bgColor indexed="64"/>
      </patternFill>
    </fill>
    <fill>
      <patternFill patternType="mediumGray">
        <fgColor indexed="42"/>
        <bgColor indexed="42"/>
      </patternFill>
    </fill>
    <fill>
      <patternFill patternType="mediumGray">
        <fgColor indexed="42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mediumGray">
        <fgColor indexed="11"/>
        <bgColor indexed="46"/>
      </patternFill>
    </fill>
    <fill>
      <patternFill patternType="mediumGray">
        <fgColor indexed="11"/>
        <bgColor indexed="47"/>
      </patternFill>
    </fill>
    <fill>
      <patternFill patternType="mediumGray">
        <fgColor indexed="11"/>
        <bgColor indexed="42"/>
      </patternFill>
    </fill>
    <fill>
      <patternFill patternType="mediumGray">
        <fgColor indexed="11"/>
        <bgColor indexed="43"/>
      </patternFill>
    </fill>
    <fill>
      <patternFill patternType="mediumGray">
        <fgColor indexed="11"/>
      </patternFill>
    </fill>
    <fill>
      <patternFill patternType="mediumGray">
        <fgColor indexed="11"/>
        <bgColor indexed="9"/>
      </patternFill>
    </fill>
    <fill>
      <patternFill patternType="solid">
        <fgColor indexed="43"/>
        <bgColor indexed="9"/>
      </patternFill>
    </fill>
    <fill>
      <patternFill patternType="solid">
        <fgColor indexed="42"/>
        <bgColor indexed="9"/>
      </patternFill>
    </fill>
    <fill>
      <patternFill patternType="solid">
        <fgColor indexed="4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11"/>
        <bgColor indexed="50"/>
      </patternFill>
    </fill>
    <fill>
      <patternFill patternType="gray125">
        <fgColor indexed="11"/>
      </patternFill>
    </fill>
    <fill>
      <patternFill patternType="solid">
        <fgColor indexed="45"/>
        <bgColor indexed="64"/>
      </patternFill>
    </fill>
    <fill>
      <patternFill patternType="gray125">
        <fgColor indexed="11"/>
        <bgColor indexed="9"/>
      </patternFill>
    </fill>
    <fill>
      <patternFill patternType="solid">
        <fgColor indexed="41"/>
        <bgColor indexed="64"/>
      </patternFill>
    </fill>
    <fill>
      <patternFill patternType="mediumGray">
        <fgColor indexed="13"/>
        <bgColor indexed="15"/>
      </patternFill>
    </fill>
    <fill>
      <patternFill patternType="mediumGray">
        <fgColor indexed="13"/>
        <bgColor indexed="47"/>
      </patternFill>
    </fill>
    <fill>
      <patternFill patternType="mediumGray">
        <fgColor indexed="13"/>
        <bgColor indexed="42"/>
      </patternFill>
    </fill>
    <fill>
      <patternFill patternType="mediumGray">
        <fgColor indexed="13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6A6A6A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00"/>
        <bgColor indexed="9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mediumGray">
        <fgColor indexed="11"/>
        <bgColor rgb="FFFFFF00"/>
      </patternFill>
    </fill>
    <fill>
      <patternFill patternType="mediumGray">
        <fgColor indexed="11"/>
        <bgColor theme="8" tint="0.59999389629810485"/>
      </patternFill>
    </fill>
  </fills>
  <borders count="19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slantDashDot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Up="1">
      <left/>
      <right/>
      <top/>
      <bottom/>
      <diagonal style="thin">
        <color auto="1"/>
      </diagonal>
    </border>
    <border diagonalUp="1">
      <left/>
      <right/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/>
      <diagonal style="thin">
        <color auto="1"/>
      </diagonal>
    </border>
    <border diagonalUp="1">
      <left/>
      <right/>
      <top style="medium">
        <color indexed="64"/>
      </top>
      <bottom/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/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auto="1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auto="1"/>
      </diagonal>
    </border>
    <border diagonalUp="1">
      <left/>
      <right/>
      <top/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/>
      <top/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/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/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/>
      <top style="medium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medium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/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/>
      <right style="thin">
        <color indexed="64"/>
      </right>
      <top/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/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/>
      <right style="thin">
        <color indexed="64"/>
      </right>
      <top/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auto="1"/>
      </top>
      <bottom/>
      <diagonal style="thin">
        <color auto="1"/>
      </diagonal>
    </border>
    <border diagonalUp="1">
      <left style="thin">
        <color indexed="64"/>
      </left>
      <right/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/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 style="thin">
        <color indexed="64"/>
      </right>
      <top/>
      <bottom style="thin">
        <color indexed="64"/>
      </bottom>
      <diagonal style="thin">
        <color auto="1"/>
      </diagonal>
    </border>
    <border diagonalUp="1">
      <left/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 diagonalUp="1"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auto="1"/>
      </diagonal>
    </border>
    <border diagonalUp="1">
      <left style="medium">
        <color indexed="64"/>
      </left>
      <right/>
      <top/>
      <bottom/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/>
      <diagonal style="thin">
        <color auto="1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auto="1"/>
      </diagonal>
    </border>
    <border diagonalUp="1">
      <left/>
      <right style="thin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/>
      <diagonal style="thin">
        <color auto="1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auto="1"/>
      </diagonal>
    </border>
    <border diagonalUp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/>
      <right/>
      <top style="thin">
        <color indexed="64"/>
      </top>
      <bottom/>
      <diagonal style="thin">
        <color auto="1"/>
      </diagonal>
    </border>
    <border diagonalUp="1">
      <left/>
      <right style="medium">
        <color indexed="64"/>
      </right>
      <top style="thin">
        <color indexed="64"/>
      </top>
      <bottom style="medium">
        <color indexed="64"/>
      </bottom>
      <diagonal style="thin">
        <color auto="1"/>
      </diagonal>
    </border>
    <border diagonalUp="1">
      <left style="medium">
        <color indexed="64"/>
      </left>
      <right/>
      <top style="medium">
        <color indexed="64"/>
      </top>
      <bottom/>
      <diagonal style="thin">
        <color auto="1"/>
      </diagonal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52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6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" fillId="0" borderId="0"/>
    <xf numFmtId="0" fontId="2" fillId="0" borderId="0"/>
    <xf numFmtId="0" fontId="2" fillId="0" borderId="0"/>
    <xf numFmtId="0" fontId="91" fillId="0" borderId="0"/>
    <xf numFmtId="0" fontId="9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3" fillId="44" borderId="0">
      <alignment horizontal="left" vertical="top"/>
    </xf>
    <xf numFmtId="0" fontId="94" fillId="44" borderId="0">
      <alignment horizontal="center" vertical="top"/>
    </xf>
    <xf numFmtId="0" fontId="93" fillId="44" borderId="0">
      <alignment horizontal="left" vertical="top"/>
    </xf>
    <xf numFmtId="0" fontId="93" fillId="44" borderId="0">
      <alignment horizontal="left" vertical="top"/>
    </xf>
    <xf numFmtId="0" fontId="93" fillId="44" borderId="0">
      <alignment horizontal="right" vertical="top"/>
    </xf>
    <xf numFmtId="0" fontId="94" fillId="45" borderId="0">
      <alignment horizontal="left" vertical="top"/>
    </xf>
    <xf numFmtId="0" fontId="94" fillId="45" borderId="0">
      <alignment horizontal="right" vertical="top"/>
    </xf>
    <xf numFmtId="0" fontId="94" fillId="45" borderId="0">
      <alignment horizontal="right" vertical="top"/>
    </xf>
    <xf numFmtId="0" fontId="94" fillId="45" borderId="0">
      <alignment horizontal="right" vertical="top"/>
    </xf>
    <xf numFmtId="0" fontId="94" fillId="46" borderId="0">
      <alignment horizontal="left" vertical="top"/>
    </xf>
    <xf numFmtId="0" fontId="94" fillId="46" borderId="0">
      <alignment horizontal="right" vertical="top"/>
    </xf>
    <xf numFmtId="0" fontId="94" fillId="46" borderId="0">
      <alignment horizontal="right" vertical="top"/>
    </xf>
    <xf numFmtId="0" fontId="95" fillId="44" borderId="0">
      <alignment horizontal="center" vertical="top"/>
    </xf>
    <xf numFmtId="0" fontId="94" fillId="46" borderId="0">
      <alignment horizontal="right" vertical="top"/>
    </xf>
    <xf numFmtId="0" fontId="93" fillId="47" borderId="0">
      <alignment horizontal="left" vertical="top"/>
    </xf>
    <xf numFmtId="0" fontId="93" fillId="47" borderId="0">
      <alignment horizontal="right" vertical="top"/>
    </xf>
    <xf numFmtId="0" fontId="93" fillId="47" borderId="0">
      <alignment horizontal="right" vertical="top"/>
    </xf>
    <xf numFmtId="0" fontId="93" fillId="47" borderId="0">
      <alignment horizontal="right" vertical="top"/>
    </xf>
    <xf numFmtId="0" fontId="93" fillId="44" borderId="0">
      <alignment horizontal="left" vertical="top"/>
    </xf>
    <xf numFmtId="0" fontId="93" fillId="44" borderId="0">
      <alignment horizontal="right" vertical="top"/>
    </xf>
    <xf numFmtId="0" fontId="93" fillId="44" borderId="0">
      <alignment horizontal="right" vertical="top"/>
    </xf>
    <xf numFmtId="0" fontId="93" fillId="44" borderId="0">
      <alignment horizontal="right" vertical="top"/>
    </xf>
    <xf numFmtId="0" fontId="96" fillId="48" borderId="0">
      <alignment horizontal="left" vertical="top"/>
    </xf>
    <xf numFmtId="0" fontId="97" fillId="44" borderId="0">
      <alignment horizontal="left" vertical="top"/>
    </xf>
    <xf numFmtId="0" fontId="98" fillId="44" borderId="0">
      <alignment horizontal="left" vertical="top"/>
    </xf>
    <xf numFmtId="0" fontId="94" fillId="44" borderId="0">
      <alignment horizontal="right" vertical="top"/>
    </xf>
    <xf numFmtId="0" fontId="94" fillId="44" borderId="0">
      <alignment horizontal="right" vertical="top"/>
    </xf>
    <xf numFmtId="0" fontId="98" fillId="49" borderId="0">
      <alignment horizontal="left"/>
    </xf>
    <xf numFmtId="0" fontId="98" fillId="49" borderId="0">
      <alignment horizontal="left"/>
    </xf>
    <xf numFmtId="0" fontId="98" fillId="49" borderId="0">
      <alignment horizontal="right"/>
    </xf>
    <xf numFmtId="0" fontId="99" fillId="49" borderId="0">
      <alignment horizontal="right"/>
    </xf>
    <xf numFmtId="0" fontId="98" fillId="48" borderId="0">
      <alignment horizontal="left" vertical="top"/>
    </xf>
    <xf numFmtId="0" fontId="94" fillId="48" borderId="0">
      <alignment horizontal="right" vertical="top"/>
    </xf>
    <xf numFmtId="0" fontId="94" fillId="48" borderId="0">
      <alignment horizontal="right" vertical="top"/>
    </xf>
    <xf numFmtId="0" fontId="93" fillId="44" borderId="0">
      <alignment horizontal="left" vertical="center"/>
    </xf>
    <xf numFmtId="0" fontId="96" fillId="49" borderId="0">
      <alignment horizontal="left" vertical="top"/>
    </xf>
    <xf numFmtId="0" fontId="96" fillId="49" borderId="0">
      <alignment horizontal="left" vertical="top"/>
    </xf>
    <xf numFmtId="0" fontId="96" fillId="48" borderId="0">
      <alignment horizontal="left" vertical="top"/>
    </xf>
    <xf numFmtId="0" fontId="96" fillId="48" borderId="0">
      <alignment horizontal="left" vertical="top"/>
    </xf>
    <xf numFmtId="0" fontId="96" fillId="48" borderId="0">
      <alignment horizontal="left" vertical="top"/>
    </xf>
    <xf numFmtId="0" fontId="96" fillId="49" borderId="0">
      <alignment horizontal="left" vertical="top"/>
    </xf>
    <xf numFmtId="0" fontId="98" fillId="44" borderId="0">
      <alignment horizontal="left"/>
    </xf>
    <xf numFmtId="0" fontId="98" fillId="44" borderId="0">
      <alignment horizontal="left"/>
    </xf>
    <xf numFmtId="0" fontId="98" fillId="44" borderId="0">
      <alignment horizontal="right"/>
    </xf>
    <xf numFmtId="0" fontId="99" fillId="44" borderId="0">
      <alignment horizontal="right"/>
    </xf>
    <xf numFmtId="4" fontId="100" fillId="13" borderId="96" applyNumberFormat="0" applyProtection="0">
      <alignment vertical="center"/>
    </xf>
    <xf numFmtId="4" fontId="101" fillId="13" borderId="96" applyNumberFormat="0" applyProtection="0">
      <alignment vertical="center"/>
    </xf>
    <xf numFmtId="4" fontId="100" fillId="13" borderId="96" applyNumberFormat="0" applyProtection="0">
      <alignment horizontal="left" vertical="center" indent="1"/>
    </xf>
    <xf numFmtId="4" fontId="100" fillId="13" borderId="96" applyNumberFormat="0" applyProtection="0">
      <alignment horizontal="left" vertical="center" indent="1"/>
    </xf>
    <xf numFmtId="0" fontId="2" fillId="11" borderId="96" applyNumberFormat="0" applyProtection="0">
      <alignment horizontal="left" vertical="center" indent="1"/>
    </xf>
    <xf numFmtId="4" fontId="100" fillId="37" borderId="96" applyNumberFormat="0" applyProtection="0">
      <alignment horizontal="right" vertical="center"/>
    </xf>
    <xf numFmtId="4" fontId="100" fillId="50" borderId="96" applyNumberFormat="0" applyProtection="0">
      <alignment horizontal="right" vertical="center"/>
    </xf>
    <xf numFmtId="4" fontId="100" fillId="51" borderId="96" applyNumberFormat="0" applyProtection="0">
      <alignment horizontal="right" vertical="center"/>
    </xf>
    <xf numFmtId="4" fontId="100" fillId="12" borderId="96" applyNumberFormat="0" applyProtection="0">
      <alignment horizontal="right" vertical="center"/>
    </xf>
    <xf numFmtId="4" fontId="100" fillId="52" borderId="96" applyNumberFormat="0" applyProtection="0">
      <alignment horizontal="right" vertical="center"/>
    </xf>
    <xf numFmtId="4" fontId="100" fillId="15" borderId="96" applyNumberFormat="0" applyProtection="0">
      <alignment horizontal="right" vertical="center"/>
    </xf>
    <xf numFmtId="4" fontId="100" fillId="17" borderId="96" applyNumberFormat="0" applyProtection="0">
      <alignment horizontal="right" vertical="center"/>
    </xf>
    <xf numFmtId="4" fontId="100" fillId="16" borderId="96" applyNumberFormat="0" applyProtection="0">
      <alignment horizontal="right" vertical="center"/>
    </xf>
    <xf numFmtId="4" fontId="100" fillId="19" borderId="96" applyNumberFormat="0" applyProtection="0">
      <alignment horizontal="right" vertical="center"/>
    </xf>
    <xf numFmtId="4" fontId="102" fillId="53" borderId="96" applyNumberFormat="0" applyProtection="0">
      <alignment horizontal="left" vertical="center" indent="1"/>
    </xf>
    <xf numFmtId="4" fontId="100" fillId="54" borderId="97" applyNumberFormat="0" applyProtection="0">
      <alignment horizontal="left" vertical="center" indent="1"/>
    </xf>
    <xf numFmtId="4" fontId="103" fillId="55" borderId="0" applyNumberFormat="0" applyProtection="0">
      <alignment horizontal="left" vertical="center" indent="1"/>
    </xf>
    <xf numFmtId="0" fontId="2" fillId="11" borderId="96" applyNumberFormat="0" applyProtection="0">
      <alignment horizontal="left" vertical="center" indent="1"/>
    </xf>
    <xf numFmtId="4" fontId="7" fillId="54" borderId="96" applyNumberFormat="0" applyProtection="0">
      <alignment horizontal="left" vertical="center" indent="1"/>
    </xf>
    <xf numFmtId="4" fontId="7" fillId="56" borderId="96" applyNumberFormat="0" applyProtection="0">
      <alignment horizontal="left" vertical="center" indent="1"/>
    </xf>
    <xf numFmtId="0" fontId="2" fillId="56" borderId="96" applyNumberFormat="0" applyProtection="0">
      <alignment horizontal="left" vertical="center" indent="1"/>
    </xf>
    <xf numFmtId="0" fontId="2" fillId="56" borderId="96" applyNumberFormat="0" applyProtection="0">
      <alignment horizontal="left" vertical="center" indent="1"/>
    </xf>
    <xf numFmtId="0" fontId="2" fillId="31" borderId="96" applyNumberFormat="0" applyProtection="0">
      <alignment horizontal="left" vertical="center" indent="1"/>
    </xf>
    <xf numFmtId="0" fontId="2" fillId="31" borderId="96" applyNumberFormat="0" applyProtection="0">
      <alignment horizontal="left" vertical="center" indent="1"/>
    </xf>
    <xf numFmtId="0" fontId="2" fillId="34" borderId="96" applyNumberFormat="0" applyProtection="0">
      <alignment horizontal="left" vertical="center" indent="1"/>
    </xf>
    <xf numFmtId="0" fontId="2" fillId="34" borderId="96" applyNumberFormat="0" applyProtection="0">
      <alignment horizontal="left" vertical="center" indent="1"/>
    </xf>
    <xf numFmtId="0" fontId="2" fillId="11" borderId="96" applyNumberFormat="0" applyProtection="0">
      <alignment horizontal="left" vertical="center" indent="1"/>
    </xf>
    <xf numFmtId="0" fontId="2" fillId="11" borderId="96" applyNumberFormat="0" applyProtection="0">
      <alignment horizontal="left" vertical="center" indent="1"/>
    </xf>
    <xf numFmtId="4" fontId="100" fillId="20" borderId="96" applyNumberFormat="0" applyProtection="0">
      <alignment vertical="center"/>
    </xf>
    <xf numFmtId="4" fontId="101" fillId="20" borderId="96" applyNumberFormat="0" applyProtection="0">
      <alignment vertical="center"/>
    </xf>
    <xf numFmtId="4" fontId="100" fillId="20" borderId="96" applyNumberFormat="0" applyProtection="0">
      <alignment horizontal="left" vertical="center" indent="1"/>
    </xf>
    <xf numFmtId="4" fontId="100" fillId="20" borderId="96" applyNumberFormat="0" applyProtection="0">
      <alignment horizontal="left" vertical="center" indent="1"/>
    </xf>
    <xf numFmtId="4" fontId="100" fillId="54" borderId="96" applyNumberFormat="0" applyProtection="0">
      <alignment horizontal="right" vertical="center"/>
    </xf>
    <xf numFmtId="4" fontId="101" fillId="54" borderId="96" applyNumberFormat="0" applyProtection="0">
      <alignment horizontal="right" vertical="center"/>
    </xf>
    <xf numFmtId="0" fontId="2" fillId="11" borderId="96" applyNumberFormat="0" applyProtection="0">
      <alignment horizontal="left" vertical="center" indent="1"/>
    </xf>
    <xf numFmtId="0" fontId="2" fillId="11" borderId="96" applyNumberFormat="0" applyProtection="0">
      <alignment horizontal="left" vertical="center" indent="1"/>
    </xf>
    <xf numFmtId="0" fontId="104" fillId="0" borderId="0"/>
    <xf numFmtId="4" fontId="105" fillId="54" borderId="96" applyNumberFormat="0" applyProtection="0">
      <alignment horizontal="right" vertical="center"/>
    </xf>
    <xf numFmtId="44" fontId="92" fillId="0" borderId="0" applyFont="0" applyFill="0" applyBorder="0" applyAlignment="0" applyProtection="0"/>
    <xf numFmtId="0" fontId="107" fillId="0" borderId="0"/>
    <xf numFmtId="0" fontId="107" fillId="0" borderId="0"/>
    <xf numFmtId="0" fontId="107" fillId="0" borderId="0"/>
    <xf numFmtId="0" fontId="16" fillId="0" borderId="0"/>
    <xf numFmtId="4" fontId="100" fillId="13" borderId="107" applyNumberFormat="0" applyProtection="0">
      <alignment vertical="center"/>
    </xf>
    <xf numFmtId="4" fontId="101" fillId="13" borderId="107" applyNumberFormat="0" applyProtection="0">
      <alignment vertical="center"/>
    </xf>
    <xf numFmtId="4" fontId="100" fillId="13" borderId="107" applyNumberFormat="0" applyProtection="0">
      <alignment horizontal="left" vertical="center" indent="1"/>
    </xf>
    <xf numFmtId="4" fontId="100" fillId="13" borderId="107" applyNumberFormat="0" applyProtection="0">
      <alignment horizontal="left" vertical="center" indent="1"/>
    </xf>
    <xf numFmtId="0" fontId="2" fillId="11" borderId="107" applyNumberFormat="0" applyProtection="0">
      <alignment horizontal="left" vertical="center" indent="1"/>
    </xf>
    <xf numFmtId="4" fontId="100" fillId="37" borderId="107" applyNumberFormat="0" applyProtection="0">
      <alignment horizontal="right" vertical="center"/>
    </xf>
    <xf numFmtId="4" fontId="100" fillId="50" borderId="107" applyNumberFormat="0" applyProtection="0">
      <alignment horizontal="right" vertical="center"/>
    </xf>
    <xf numFmtId="4" fontId="100" fillId="51" borderId="107" applyNumberFormat="0" applyProtection="0">
      <alignment horizontal="right" vertical="center"/>
    </xf>
    <xf numFmtId="4" fontId="100" fillId="12" borderId="107" applyNumberFormat="0" applyProtection="0">
      <alignment horizontal="right" vertical="center"/>
    </xf>
    <xf numFmtId="4" fontId="100" fillId="52" borderId="107" applyNumberFormat="0" applyProtection="0">
      <alignment horizontal="right" vertical="center"/>
    </xf>
    <xf numFmtId="4" fontId="100" fillId="15" borderId="107" applyNumberFormat="0" applyProtection="0">
      <alignment horizontal="right" vertical="center"/>
    </xf>
    <xf numFmtId="4" fontId="100" fillId="17" borderId="107" applyNumberFormat="0" applyProtection="0">
      <alignment horizontal="right" vertical="center"/>
    </xf>
    <xf numFmtId="4" fontId="100" fillId="16" borderId="107" applyNumberFormat="0" applyProtection="0">
      <alignment horizontal="right" vertical="center"/>
    </xf>
    <xf numFmtId="4" fontId="100" fillId="19" borderId="107" applyNumberFormat="0" applyProtection="0">
      <alignment horizontal="right" vertical="center"/>
    </xf>
    <xf numFmtId="4" fontId="102" fillId="53" borderId="107" applyNumberFormat="0" applyProtection="0">
      <alignment horizontal="left" vertical="center" indent="1"/>
    </xf>
    <xf numFmtId="4" fontId="100" fillId="54" borderId="108" applyNumberFormat="0" applyProtection="0">
      <alignment horizontal="left" vertical="center" indent="1"/>
    </xf>
    <xf numFmtId="0" fontId="2" fillId="11" borderId="107" applyNumberFormat="0" applyProtection="0">
      <alignment horizontal="left" vertical="center" indent="1"/>
    </xf>
    <xf numFmtId="4" fontId="7" fillId="54" borderId="107" applyNumberFormat="0" applyProtection="0">
      <alignment horizontal="left" vertical="center" indent="1"/>
    </xf>
    <xf numFmtId="4" fontId="7" fillId="56" borderId="107" applyNumberFormat="0" applyProtection="0">
      <alignment horizontal="left" vertical="center" indent="1"/>
    </xf>
    <xf numFmtId="0" fontId="2" fillId="56" borderId="107" applyNumberFormat="0" applyProtection="0">
      <alignment horizontal="left" vertical="center" indent="1"/>
    </xf>
    <xf numFmtId="0" fontId="2" fillId="56" borderId="107" applyNumberFormat="0" applyProtection="0">
      <alignment horizontal="left" vertical="center" indent="1"/>
    </xf>
    <xf numFmtId="0" fontId="2" fillId="31" borderId="107" applyNumberFormat="0" applyProtection="0">
      <alignment horizontal="left" vertical="center" indent="1"/>
    </xf>
    <xf numFmtId="0" fontId="2" fillId="31" borderId="107" applyNumberFormat="0" applyProtection="0">
      <alignment horizontal="left" vertical="center" indent="1"/>
    </xf>
    <xf numFmtId="0" fontId="2" fillId="34" borderId="107" applyNumberFormat="0" applyProtection="0">
      <alignment horizontal="left" vertical="center" indent="1"/>
    </xf>
    <xf numFmtId="0" fontId="2" fillId="34" borderId="107" applyNumberFormat="0" applyProtection="0">
      <alignment horizontal="left" vertical="center" indent="1"/>
    </xf>
    <xf numFmtId="0" fontId="2" fillId="11" borderId="107" applyNumberFormat="0" applyProtection="0">
      <alignment horizontal="left" vertical="center" indent="1"/>
    </xf>
    <xf numFmtId="0" fontId="2" fillId="11" borderId="107" applyNumberFormat="0" applyProtection="0">
      <alignment horizontal="left" vertical="center" indent="1"/>
    </xf>
    <xf numFmtId="4" fontId="100" fillId="20" borderId="107" applyNumberFormat="0" applyProtection="0">
      <alignment vertical="center"/>
    </xf>
    <xf numFmtId="4" fontId="101" fillId="20" borderId="107" applyNumberFormat="0" applyProtection="0">
      <alignment vertical="center"/>
    </xf>
    <xf numFmtId="4" fontId="100" fillId="20" borderId="107" applyNumberFormat="0" applyProtection="0">
      <alignment horizontal="left" vertical="center" indent="1"/>
    </xf>
    <xf numFmtId="4" fontId="100" fillId="20" borderId="107" applyNumberFormat="0" applyProtection="0">
      <alignment horizontal="left" vertical="center" indent="1"/>
    </xf>
    <xf numFmtId="4" fontId="100" fillId="54" borderId="107" applyNumberFormat="0" applyProtection="0">
      <alignment horizontal="right" vertical="center"/>
    </xf>
    <xf numFmtId="4" fontId="101" fillId="54" borderId="107" applyNumberFormat="0" applyProtection="0">
      <alignment horizontal="right" vertical="center"/>
    </xf>
    <xf numFmtId="0" fontId="2" fillId="11" borderId="107" applyNumberFormat="0" applyProtection="0">
      <alignment horizontal="left" vertical="center" indent="1"/>
    </xf>
    <xf numFmtId="0" fontId="2" fillId="11" borderId="107" applyNumberFormat="0" applyProtection="0">
      <alignment horizontal="left" vertical="center" indent="1"/>
    </xf>
    <xf numFmtId="4" fontId="105" fillId="54" borderId="107" applyNumberFormat="0" applyProtection="0">
      <alignment horizontal="right" vertical="center"/>
    </xf>
  </cellStyleXfs>
  <cellXfs count="4762">
    <xf numFmtId="0" fontId="0" fillId="0" borderId="0" xfId="0"/>
    <xf numFmtId="0" fontId="3" fillId="0" borderId="0" xfId="0" applyFont="1"/>
    <xf numFmtId="0" fontId="3" fillId="0" borderId="0" xfId="0" applyFont="1" applyBorder="1"/>
    <xf numFmtId="0" fontId="4" fillId="0" borderId="0" xfId="0" applyFont="1" applyFill="1" applyAlignment="1"/>
    <xf numFmtId="0" fontId="5" fillId="0" borderId="0" xfId="0" applyFont="1" applyFill="1" applyAlignment="1"/>
    <xf numFmtId="0" fontId="7" fillId="0" borderId="0" xfId="0" applyFont="1"/>
    <xf numFmtId="0" fontId="4" fillId="0" borderId="0" xfId="0" applyFont="1" applyFill="1" applyAlignment="1">
      <alignment horizontal="left"/>
    </xf>
    <xf numFmtId="0" fontId="8" fillId="0" borderId="0" xfId="0" applyFont="1" applyFill="1" applyAlignment="1">
      <alignment horizontal="left"/>
    </xf>
    <xf numFmtId="0" fontId="10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/>
    </xf>
    <xf numFmtId="0" fontId="14" fillId="0" borderId="12" xfId="4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3" fontId="3" fillId="0" borderId="0" xfId="0" applyNumberFormat="1" applyFont="1"/>
    <xf numFmtId="0" fontId="17" fillId="0" borderId="14" xfId="0" applyFont="1" applyBorder="1" applyAlignment="1">
      <alignment horizontal="center"/>
    </xf>
    <xf numFmtId="0" fontId="17" fillId="0" borderId="4" xfId="0" quotePrefix="1" applyFont="1" applyBorder="1" applyAlignment="1">
      <alignment horizontal="center"/>
    </xf>
    <xf numFmtId="3" fontId="17" fillId="0" borderId="4" xfId="0" applyNumberFormat="1" applyFont="1" applyBorder="1" applyAlignment="1">
      <alignment horizontal="center"/>
    </xf>
    <xf numFmtId="3" fontId="17" fillId="0" borderId="15" xfId="0" applyNumberFormat="1" applyFont="1" applyBorder="1" applyAlignment="1">
      <alignment horizontal="center"/>
    </xf>
    <xf numFmtId="3" fontId="17" fillId="0" borderId="15" xfId="0" quotePrefix="1" applyNumberFormat="1" applyFont="1" applyBorder="1" applyAlignment="1">
      <alignment horizontal="center"/>
    </xf>
    <xf numFmtId="3" fontId="17" fillId="0" borderId="2" xfId="0" quotePrefix="1" applyNumberFormat="1" applyFont="1" applyBorder="1" applyAlignment="1">
      <alignment horizontal="center"/>
    </xf>
    <xf numFmtId="0" fontId="17" fillId="3" borderId="5" xfId="0" quotePrefix="1" applyFont="1" applyFill="1" applyBorder="1" applyAlignment="1">
      <alignment horizontal="center"/>
    </xf>
    <xf numFmtId="0" fontId="18" fillId="4" borderId="16" xfId="4" applyFont="1" applyFill="1" applyBorder="1" applyAlignment="1">
      <alignment horizontal="left" vertical="center"/>
    </xf>
    <xf numFmtId="3" fontId="18" fillId="4" borderId="17" xfId="0" applyNumberFormat="1" applyFont="1" applyFill="1" applyBorder="1" applyAlignment="1">
      <alignment horizontal="right" vertical="center" wrapText="1"/>
    </xf>
    <xf numFmtId="3" fontId="18" fillId="5" borderId="19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4" fillId="4" borderId="20" xfId="0" applyFont="1" applyFill="1" applyBorder="1" applyAlignment="1">
      <alignment horizontal="left" vertical="center"/>
    </xf>
    <xf numFmtId="3" fontId="14" fillId="4" borderId="9" xfId="0" quotePrefix="1" applyNumberFormat="1" applyFont="1" applyFill="1" applyBorder="1" applyAlignment="1">
      <alignment horizontal="right" vertical="center"/>
    </xf>
    <xf numFmtId="3" fontId="13" fillId="4" borderId="9" xfId="0" quotePrefix="1" applyNumberFormat="1" applyFont="1" applyFill="1" applyBorder="1" applyAlignment="1">
      <alignment horizontal="right" vertical="center"/>
    </xf>
    <xf numFmtId="3" fontId="19" fillId="3" borderId="21" xfId="0" applyNumberFormat="1" applyFont="1" applyFill="1" applyBorder="1" applyAlignment="1">
      <alignment vertical="center" wrapText="1"/>
    </xf>
    <xf numFmtId="3" fontId="3" fillId="0" borderId="0" xfId="0" applyNumberFormat="1" applyFont="1" applyFill="1" applyAlignment="1">
      <alignment vertical="center"/>
    </xf>
    <xf numFmtId="0" fontId="14" fillId="4" borderId="22" xfId="0" applyFont="1" applyFill="1" applyBorder="1" applyAlignment="1">
      <alignment horizontal="left" vertical="center"/>
    </xf>
    <xf numFmtId="3" fontId="14" fillId="4" borderId="23" xfId="0" quotePrefix="1" applyNumberFormat="1" applyFont="1" applyFill="1" applyBorder="1" applyAlignment="1">
      <alignment horizontal="right" vertical="center"/>
    </xf>
    <xf numFmtId="3" fontId="13" fillId="4" borderId="23" xfId="0" quotePrefix="1" applyNumberFormat="1" applyFont="1" applyFill="1" applyBorder="1" applyAlignment="1">
      <alignment horizontal="right" vertical="center"/>
    </xf>
    <xf numFmtId="3" fontId="19" fillId="3" borderId="25" xfId="0" applyNumberFormat="1" applyFont="1" applyFill="1" applyBorder="1" applyAlignment="1">
      <alignment vertical="center" wrapText="1"/>
    </xf>
    <xf numFmtId="0" fontId="17" fillId="0" borderId="26" xfId="0" applyFont="1" applyFill="1" applyBorder="1" applyAlignment="1">
      <alignment vertical="center" wrapText="1"/>
    </xf>
    <xf numFmtId="3" fontId="17" fillId="0" borderId="0" xfId="0" applyNumberFormat="1" applyFont="1" applyFill="1" applyBorder="1" applyAlignment="1">
      <alignment vertical="center" wrapText="1"/>
    </xf>
    <xf numFmtId="3" fontId="17" fillId="2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18" fillId="6" borderId="28" xfId="4" applyFont="1" applyFill="1" applyBorder="1" applyAlignment="1">
      <alignment horizontal="left" vertical="center"/>
    </xf>
    <xf numFmtId="3" fontId="18" fillId="6" borderId="29" xfId="0" applyNumberFormat="1" applyFont="1" applyFill="1" applyBorder="1" applyAlignment="1">
      <alignment horizontal="right" vertical="center" wrapText="1"/>
    </xf>
    <xf numFmtId="3" fontId="18" fillId="6" borderId="30" xfId="0" applyNumberFormat="1" applyFont="1" applyFill="1" applyBorder="1" applyAlignment="1">
      <alignment horizontal="right" vertical="center" wrapText="1"/>
    </xf>
    <xf numFmtId="3" fontId="18" fillId="7" borderId="32" xfId="0" applyNumberFormat="1" applyFont="1" applyFill="1" applyBorder="1" applyAlignment="1">
      <alignment horizontal="right" vertical="center" wrapText="1"/>
    </xf>
    <xf numFmtId="3" fontId="20" fillId="0" borderId="0" xfId="0" applyNumberFormat="1" applyFont="1" applyFill="1" applyAlignment="1">
      <alignment vertical="center"/>
    </xf>
    <xf numFmtId="3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1" fillId="8" borderId="20" xfId="4" applyFont="1" applyFill="1" applyBorder="1" applyAlignment="1">
      <alignment vertical="center"/>
    </xf>
    <xf numFmtId="3" fontId="21" fillId="8" borderId="9" xfId="0" applyNumberFormat="1" applyFont="1" applyFill="1" applyBorder="1" applyAlignment="1">
      <alignment horizontal="right" vertical="center" wrapText="1"/>
    </xf>
    <xf numFmtId="3" fontId="21" fillId="9" borderId="21" xfId="0" applyNumberFormat="1" applyFont="1" applyFill="1" applyBorder="1" applyAlignment="1">
      <alignment horizontal="right" vertical="center" wrapText="1"/>
    </xf>
    <xf numFmtId="0" fontId="3" fillId="0" borderId="0" xfId="0" applyFont="1" applyFill="1" applyBorder="1" applyAlignment="1"/>
    <xf numFmtId="0" fontId="3" fillId="0" borderId="20" xfId="0" applyFont="1" applyFill="1" applyBorder="1" applyAlignment="1">
      <alignment vertical="center" wrapText="1"/>
    </xf>
    <xf numFmtId="3" fontId="3" fillId="0" borderId="9" xfId="0" applyNumberFormat="1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/>
    </xf>
    <xf numFmtId="0" fontId="3" fillId="0" borderId="28" xfId="0" applyFont="1" applyFill="1" applyBorder="1" applyAlignment="1">
      <alignment vertical="center" wrapText="1"/>
    </xf>
    <xf numFmtId="43" fontId="3" fillId="0" borderId="9" xfId="1" applyFont="1" applyFill="1" applyBorder="1" applyAlignment="1">
      <alignment vertical="center" wrapText="1"/>
    </xf>
    <xf numFmtId="3" fontId="3" fillId="0" borderId="29" xfId="0" applyNumberFormat="1" applyFont="1" applyFill="1" applyBorder="1" applyAlignment="1">
      <alignment vertical="center" wrapText="1"/>
    </xf>
    <xf numFmtId="43" fontId="3" fillId="0" borderId="29" xfId="1" applyFont="1" applyFill="1" applyBorder="1" applyAlignment="1">
      <alignment vertical="center" wrapText="1"/>
    </xf>
    <xf numFmtId="43" fontId="3" fillId="0" borderId="30" xfId="1" applyFont="1" applyFill="1" applyBorder="1" applyAlignment="1">
      <alignment vertical="center" wrapText="1"/>
    </xf>
    <xf numFmtId="3" fontId="3" fillId="0" borderId="30" xfId="0" applyNumberFormat="1" applyFont="1" applyFill="1" applyBorder="1" applyAlignment="1">
      <alignment vertical="center" wrapText="1"/>
    </xf>
    <xf numFmtId="3" fontId="3" fillId="0" borderId="27" xfId="0" applyNumberFormat="1" applyFont="1" applyFill="1" applyBorder="1" applyAlignment="1">
      <alignment vertical="center" wrapText="1"/>
    </xf>
    <xf numFmtId="43" fontId="3" fillId="0" borderId="27" xfId="1" applyFont="1" applyFill="1" applyBorder="1" applyAlignment="1">
      <alignment vertical="center" wrapText="1"/>
    </xf>
    <xf numFmtId="0" fontId="21" fillId="8" borderId="20" xfId="4" applyFont="1" applyFill="1" applyBorder="1" applyAlignment="1">
      <alignment vertical="center" wrapText="1"/>
    </xf>
    <xf numFmtId="3" fontId="21" fillId="8" borderId="29" xfId="0" applyNumberFormat="1" applyFont="1" applyFill="1" applyBorder="1" applyAlignment="1">
      <alignment vertical="center" wrapText="1"/>
    </xf>
    <xf numFmtId="3" fontId="21" fillId="9" borderId="32" xfId="0" applyNumberFormat="1" applyFont="1" applyFill="1" applyBorder="1" applyAlignment="1">
      <alignment vertical="center" wrapText="1"/>
    </xf>
    <xf numFmtId="0" fontId="18" fillId="6" borderId="28" xfId="4" applyFont="1" applyFill="1" applyBorder="1" applyAlignment="1">
      <alignment horizontal="left"/>
    </xf>
    <xf numFmtId="3" fontId="22" fillId="6" borderId="29" xfId="0" applyNumberFormat="1" applyFont="1" applyFill="1" applyBorder="1" applyAlignment="1">
      <alignment wrapText="1"/>
    </xf>
    <xf numFmtId="3" fontId="18" fillId="6" borderId="30" xfId="0" applyNumberFormat="1" applyFont="1" applyFill="1" applyBorder="1" applyAlignment="1">
      <alignment wrapText="1"/>
    </xf>
    <xf numFmtId="3" fontId="22" fillId="6" borderId="30" xfId="0" applyNumberFormat="1" applyFont="1" applyFill="1" applyBorder="1" applyAlignment="1">
      <alignment wrapText="1"/>
    </xf>
    <xf numFmtId="0" fontId="20" fillId="0" borderId="0" xfId="0" applyFont="1" applyFill="1" applyBorder="1" applyAlignment="1"/>
    <xf numFmtId="3" fontId="23" fillId="8" borderId="29" xfId="0" applyNumberFormat="1" applyFont="1" applyFill="1" applyBorder="1" applyAlignment="1">
      <alignment vertical="center" wrapText="1"/>
    </xf>
    <xf numFmtId="3" fontId="19" fillId="2" borderId="9" xfId="0" applyNumberFormat="1" applyFont="1" applyFill="1" applyBorder="1" applyAlignment="1">
      <alignment vertical="center" wrapText="1"/>
    </xf>
    <xf numFmtId="3" fontId="3" fillId="2" borderId="9" xfId="0" applyNumberFormat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3" fillId="0" borderId="35" xfId="1" applyFont="1" applyFill="1" applyBorder="1" applyAlignment="1">
      <alignment vertical="center" wrapText="1"/>
    </xf>
    <xf numFmtId="3" fontId="23" fillId="8" borderId="30" xfId="0" applyNumberFormat="1" applyFont="1" applyFill="1" applyBorder="1" applyAlignment="1">
      <alignment vertical="center" wrapText="1"/>
    </xf>
    <xf numFmtId="0" fontId="17" fillId="0" borderId="28" xfId="0" applyFont="1" applyFill="1" applyBorder="1" applyAlignment="1">
      <alignment vertical="center" wrapText="1"/>
    </xf>
    <xf numFmtId="3" fontId="17" fillId="0" borderId="9" xfId="0" applyNumberFormat="1" applyFont="1" applyFill="1" applyBorder="1" applyAlignment="1">
      <alignment vertical="center" wrapText="1"/>
    </xf>
    <xf numFmtId="3" fontId="17" fillId="0" borderId="8" xfId="0" applyNumberFormat="1" applyFont="1" applyFill="1" applyBorder="1" applyAlignment="1">
      <alignment vertical="center" wrapText="1"/>
    </xf>
    <xf numFmtId="0" fontId="3" fillId="0" borderId="37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3" fontId="17" fillId="0" borderId="13" xfId="0" applyNumberFormat="1" applyFont="1" applyFill="1" applyBorder="1" applyAlignment="1">
      <alignment vertical="center" wrapText="1"/>
    </xf>
    <xf numFmtId="3" fontId="17" fillId="0" borderId="0" xfId="0" applyNumberFormat="1" applyFont="1" applyFill="1" applyBorder="1" applyAlignment="1">
      <alignment horizontal="right" vertical="center" wrapText="1"/>
    </xf>
    <xf numFmtId="3" fontId="18" fillId="4" borderId="44" xfId="0" applyNumberFormat="1" applyFont="1" applyFill="1" applyBorder="1" applyAlignment="1">
      <alignment horizontal="right" vertical="center" wrapText="1"/>
    </xf>
    <xf numFmtId="3" fontId="18" fillId="5" borderId="45" xfId="0" applyNumberFormat="1" applyFont="1" applyFill="1" applyBorder="1" applyAlignment="1">
      <alignment horizontal="right" vertical="center" wrapText="1"/>
    </xf>
    <xf numFmtId="0" fontId="14" fillId="4" borderId="22" xfId="0" applyFont="1" applyFill="1" applyBorder="1" applyAlignment="1">
      <alignment horizontal="left"/>
    </xf>
    <xf numFmtId="3" fontId="14" fillId="4" borderId="23" xfId="0" quotePrefix="1" applyNumberFormat="1" applyFont="1" applyFill="1" applyBorder="1" applyAlignment="1">
      <alignment horizontal="right"/>
    </xf>
    <xf numFmtId="3" fontId="14" fillId="4" borderId="47" xfId="0" quotePrefix="1" applyNumberFormat="1" applyFont="1" applyFill="1" applyBorder="1" applyAlignment="1">
      <alignment horizontal="right"/>
    </xf>
    <xf numFmtId="3" fontId="14" fillId="4" borderId="48" xfId="0" quotePrefix="1" applyNumberFormat="1" applyFont="1" applyFill="1" applyBorder="1" applyAlignment="1">
      <alignment horizontal="right"/>
    </xf>
    <xf numFmtId="3" fontId="17" fillId="0" borderId="27" xfId="0" applyNumberFormat="1" applyFont="1" applyFill="1" applyBorder="1" applyAlignment="1">
      <alignment vertical="center" wrapText="1"/>
    </xf>
    <xf numFmtId="3" fontId="18" fillId="6" borderId="34" xfId="0" applyNumberFormat="1" applyFont="1" applyFill="1" applyBorder="1" applyAlignment="1">
      <alignment horizontal="right" vertical="center" wrapText="1"/>
    </xf>
    <xf numFmtId="3" fontId="18" fillId="7" borderId="49" xfId="0" applyNumberFormat="1" applyFont="1" applyFill="1" applyBorder="1" applyAlignment="1">
      <alignment horizontal="right" vertical="center" wrapText="1"/>
    </xf>
    <xf numFmtId="3" fontId="23" fillId="8" borderId="9" xfId="0" applyNumberFormat="1" applyFont="1" applyFill="1" applyBorder="1" applyAlignment="1">
      <alignment horizontal="right" vertical="center" wrapText="1"/>
    </xf>
    <xf numFmtId="3" fontId="21" fillId="8" borderId="35" xfId="0" applyNumberFormat="1" applyFont="1" applyFill="1" applyBorder="1" applyAlignment="1">
      <alignment horizontal="right" vertical="center" wrapText="1"/>
    </xf>
    <xf numFmtId="3" fontId="23" fillId="8" borderId="35" xfId="0" applyNumberFormat="1" applyFont="1" applyFill="1" applyBorder="1" applyAlignment="1">
      <alignment horizontal="right" vertical="center" wrapText="1"/>
    </xf>
    <xf numFmtId="3" fontId="23" fillId="8" borderId="36" xfId="0" applyNumberFormat="1" applyFont="1" applyFill="1" applyBorder="1" applyAlignment="1">
      <alignment horizontal="right" vertical="center" wrapText="1"/>
    </xf>
    <xf numFmtId="3" fontId="23" fillId="9" borderId="46" xfId="0" applyNumberFormat="1" applyFont="1" applyFill="1" applyBorder="1" applyAlignment="1">
      <alignment horizontal="right" vertical="center" wrapText="1"/>
    </xf>
    <xf numFmtId="3" fontId="3" fillId="0" borderId="35" xfId="0" applyNumberFormat="1" applyFont="1" applyFill="1" applyBorder="1" applyAlignment="1">
      <alignment vertical="center" wrapText="1"/>
    </xf>
    <xf numFmtId="3" fontId="3" fillId="2" borderId="36" xfId="0" applyNumberFormat="1" applyFont="1" applyFill="1" applyBorder="1" applyAlignment="1">
      <alignment vertical="center" wrapText="1"/>
    </xf>
    <xf numFmtId="0" fontId="3" fillId="0" borderId="28" xfId="0" applyFont="1" applyFill="1" applyBorder="1" applyAlignment="1">
      <alignment vertical="center"/>
    </xf>
    <xf numFmtId="3" fontId="26" fillId="8" borderId="29" xfId="0" applyNumberFormat="1" applyFont="1" applyFill="1" applyBorder="1" applyAlignment="1">
      <alignment vertical="center" wrapText="1"/>
    </xf>
    <xf numFmtId="3" fontId="27" fillId="8" borderId="29" xfId="0" applyNumberFormat="1" applyFont="1" applyFill="1" applyBorder="1" applyAlignment="1">
      <alignment vertical="center" wrapText="1"/>
    </xf>
    <xf numFmtId="43" fontId="23" fillId="8" borderId="29" xfId="1" applyFont="1" applyFill="1" applyBorder="1" applyAlignment="1">
      <alignment vertical="center" wrapText="1"/>
    </xf>
    <xf numFmtId="3" fontId="23" fillId="8" borderId="34" xfId="0" applyNumberFormat="1" applyFont="1" applyFill="1" applyBorder="1" applyAlignment="1">
      <alignment vertical="center" wrapText="1"/>
    </xf>
    <xf numFmtId="3" fontId="22" fillId="6" borderId="29" xfId="0" applyNumberFormat="1" applyFont="1" applyFill="1" applyBorder="1" applyAlignment="1">
      <alignment vertical="center" wrapText="1"/>
    </xf>
    <xf numFmtId="3" fontId="18" fillId="6" borderId="30" xfId="0" applyNumberFormat="1" applyFont="1" applyFill="1" applyBorder="1" applyAlignment="1">
      <alignment vertical="center" wrapText="1"/>
    </xf>
    <xf numFmtId="3" fontId="22" fillId="6" borderId="30" xfId="0" applyNumberFormat="1" applyFont="1" applyFill="1" applyBorder="1" applyAlignment="1">
      <alignment vertical="center" wrapText="1"/>
    </xf>
    <xf numFmtId="43" fontId="22" fillId="6" borderId="30" xfId="1" applyFont="1" applyFill="1" applyBorder="1" applyAlignment="1">
      <alignment vertical="center" wrapText="1"/>
    </xf>
    <xf numFmtId="3" fontId="22" fillId="6" borderId="34" xfId="0" applyNumberFormat="1" applyFont="1" applyFill="1" applyBorder="1" applyAlignment="1">
      <alignment vertical="center" wrapText="1"/>
    </xf>
    <xf numFmtId="43" fontId="3" fillId="2" borderId="9" xfId="1" applyFont="1" applyFill="1" applyBorder="1" applyAlignment="1">
      <alignment vertical="center" wrapText="1"/>
    </xf>
    <xf numFmtId="43" fontId="23" fillId="8" borderId="30" xfId="1" applyFont="1" applyFill="1" applyBorder="1" applyAlignment="1">
      <alignment vertical="center" wrapText="1"/>
    </xf>
    <xf numFmtId="0" fontId="24" fillId="4" borderId="38" xfId="0" applyFont="1" applyFill="1" applyBorder="1" applyAlignment="1">
      <alignment vertical="center"/>
    </xf>
    <xf numFmtId="3" fontId="22" fillId="4" borderId="39" xfId="0" applyNumberFormat="1" applyFont="1" applyFill="1" applyBorder="1" applyAlignment="1">
      <alignment vertical="center" wrapText="1"/>
    </xf>
    <xf numFmtId="3" fontId="18" fillId="4" borderId="39" xfId="0" applyNumberFormat="1" applyFont="1" applyFill="1" applyBorder="1" applyAlignment="1">
      <alignment vertical="center" wrapText="1"/>
    </xf>
    <xf numFmtId="3" fontId="22" fillId="4" borderId="50" xfId="0" applyNumberFormat="1" applyFont="1" applyFill="1" applyBorder="1" applyAlignment="1">
      <alignment vertical="center" wrapText="1"/>
    </xf>
    <xf numFmtId="3" fontId="22" fillId="4" borderId="51" xfId="0" applyNumberFormat="1" applyFont="1" applyFill="1" applyBorder="1" applyAlignment="1">
      <alignment vertical="center" wrapText="1"/>
    </xf>
    <xf numFmtId="3" fontId="22" fillId="4" borderId="52" xfId="0" applyNumberFormat="1" applyFont="1" applyFill="1" applyBorder="1" applyAlignment="1">
      <alignment vertical="center" wrapText="1"/>
    </xf>
    <xf numFmtId="3" fontId="22" fillId="4" borderId="12" xfId="0" applyNumberFormat="1" applyFont="1" applyFill="1" applyBorder="1" applyAlignment="1">
      <alignment vertical="center" wrapText="1"/>
    </xf>
    <xf numFmtId="3" fontId="18" fillId="4" borderId="12" xfId="0" applyNumberFormat="1" applyFont="1" applyFill="1" applyBorder="1" applyAlignment="1">
      <alignment vertical="center" wrapText="1"/>
    </xf>
    <xf numFmtId="3" fontId="22" fillId="4" borderId="23" xfId="0" applyNumberFormat="1" applyFont="1" applyFill="1" applyBorder="1" applyAlignment="1">
      <alignment vertical="center" wrapText="1"/>
    </xf>
    <xf numFmtId="3" fontId="22" fillId="4" borderId="25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3" fontId="22" fillId="2" borderId="0" xfId="0" applyNumberFormat="1" applyFont="1" applyFill="1" applyBorder="1" applyAlignment="1">
      <alignment vertical="center" wrapText="1"/>
    </xf>
    <xf numFmtId="3" fontId="20" fillId="2" borderId="0" xfId="0" applyNumberFormat="1" applyFont="1" applyFill="1" applyAlignment="1">
      <alignment vertical="center"/>
    </xf>
    <xf numFmtId="0" fontId="20" fillId="2" borderId="0" xfId="0" applyFont="1" applyFill="1" applyBorder="1" applyAlignment="1">
      <alignment vertical="center"/>
    </xf>
    <xf numFmtId="0" fontId="18" fillId="13" borderId="53" xfId="4" applyFont="1" applyFill="1" applyBorder="1" applyAlignment="1">
      <alignment horizontal="left" vertical="center"/>
    </xf>
    <xf numFmtId="3" fontId="22" fillId="13" borderId="54" xfId="0" applyNumberFormat="1" applyFont="1" applyFill="1" applyBorder="1" applyAlignment="1">
      <alignment vertical="center" wrapText="1"/>
    </xf>
    <xf numFmtId="3" fontId="22" fillId="13" borderId="55" xfId="0" applyNumberFormat="1" applyFont="1" applyFill="1" applyBorder="1" applyAlignment="1">
      <alignment vertical="center" wrapText="1"/>
    </xf>
    <xf numFmtId="3" fontId="22" fillId="13" borderId="56" xfId="0" applyNumberFormat="1" applyFont="1" applyFill="1" applyBorder="1" applyAlignment="1">
      <alignment vertical="center" wrapText="1"/>
    </xf>
    <xf numFmtId="0" fontId="28" fillId="13" borderId="20" xfId="0" applyFont="1" applyFill="1" applyBorder="1" applyAlignment="1">
      <alignment vertical="center"/>
    </xf>
    <xf numFmtId="3" fontId="29" fillId="13" borderId="35" xfId="0" applyNumberFormat="1" applyFont="1" applyFill="1" applyBorder="1" applyAlignment="1">
      <alignment vertical="center" wrapText="1"/>
    </xf>
    <xf numFmtId="3" fontId="29" fillId="13" borderId="7" xfId="0" applyNumberFormat="1" applyFont="1" applyFill="1" applyBorder="1" applyAlignment="1">
      <alignment vertical="center" wrapText="1"/>
    </xf>
    <xf numFmtId="3" fontId="29" fillId="13" borderId="21" xfId="0" applyNumberFormat="1" applyFont="1" applyFill="1" applyBorder="1" applyAlignment="1">
      <alignment vertical="center" wrapText="1"/>
    </xf>
    <xf numFmtId="0" fontId="18" fillId="13" borderId="57" xfId="4" applyFont="1" applyFill="1" applyBorder="1" applyAlignment="1">
      <alignment horizontal="left" vertical="center"/>
    </xf>
    <xf numFmtId="3" fontId="22" fillId="13" borderId="58" xfId="0" applyNumberFormat="1" applyFont="1" applyFill="1" applyBorder="1" applyAlignment="1">
      <alignment vertical="center" wrapText="1"/>
    </xf>
    <xf numFmtId="3" fontId="22" fillId="13" borderId="59" xfId="0" applyNumberFormat="1" applyFont="1" applyFill="1" applyBorder="1" applyAlignment="1">
      <alignment horizontal="center" vertical="center" wrapText="1"/>
    </xf>
    <xf numFmtId="3" fontId="22" fillId="2" borderId="0" xfId="0" applyNumberFormat="1" applyFont="1" applyFill="1" applyBorder="1" applyAlignment="1">
      <alignment horizontal="center" vertical="center" wrapText="1"/>
    </xf>
    <xf numFmtId="3" fontId="22" fillId="13" borderId="60" xfId="0" applyNumberFormat="1" applyFont="1" applyFill="1" applyBorder="1" applyAlignment="1">
      <alignment horizontal="center" vertical="center" wrapText="1"/>
    </xf>
    <xf numFmtId="0" fontId="30" fillId="13" borderId="0" xfId="4" applyFont="1" applyFill="1" applyBorder="1" applyAlignment="1">
      <alignment horizontal="center" vertical="center"/>
    </xf>
    <xf numFmtId="3" fontId="22" fillId="13" borderId="0" xfId="0" applyNumberFormat="1" applyFont="1" applyFill="1" applyBorder="1" applyAlignment="1">
      <alignment vertical="center" wrapText="1"/>
    </xf>
    <xf numFmtId="0" fontId="18" fillId="13" borderId="0" xfId="4" applyFont="1" applyFill="1" applyBorder="1" applyAlignment="1">
      <alignment horizontal="left" vertical="center"/>
    </xf>
    <xf numFmtId="0" fontId="18" fillId="0" borderId="0" xfId="4" applyFont="1" applyFill="1" applyBorder="1" applyAlignment="1">
      <alignment horizontal="left" vertical="center"/>
    </xf>
    <xf numFmtId="3" fontId="22" fillId="0" borderId="0" xfId="0" applyNumberFormat="1" applyFont="1" applyFill="1" applyBorder="1" applyAlignment="1">
      <alignment vertical="center" wrapText="1"/>
    </xf>
    <xf numFmtId="0" fontId="18" fillId="0" borderId="53" xfId="4" applyFont="1" applyFill="1" applyBorder="1" applyAlignment="1">
      <alignment horizontal="left" vertical="center"/>
    </xf>
    <xf numFmtId="3" fontId="22" fillId="0" borderId="54" xfId="0" applyNumberFormat="1" applyFont="1" applyFill="1" applyBorder="1" applyAlignment="1">
      <alignment vertical="center" wrapText="1"/>
    </xf>
    <xf numFmtId="3" fontId="22" fillId="0" borderId="55" xfId="0" applyNumberFormat="1" applyFont="1" applyFill="1" applyBorder="1" applyAlignment="1">
      <alignment vertical="center" wrapText="1"/>
    </xf>
    <xf numFmtId="0" fontId="31" fillId="0" borderId="20" xfId="0" applyFont="1" applyFill="1" applyBorder="1" applyAlignment="1">
      <alignment vertical="center"/>
    </xf>
    <xf numFmtId="3" fontId="32" fillId="0" borderId="35" xfId="0" applyNumberFormat="1" applyFont="1" applyFill="1" applyBorder="1" applyAlignment="1">
      <alignment vertical="center" wrapText="1"/>
    </xf>
    <xf numFmtId="3" fontId="29" fillId="0" borderId="7" xfId="0" applyNumberFormat="1" applyFont="1" applyFill="1" applyBorder="1" applyAlignment="1">
      <alignment vertical="center" wrapText="1"/>
    </xf>
    <xf numFmtId="0" fontId="18" fillId="13" borderId="61" xfId="4" applyFont="1" applyFill="1" applyBorder="1" applyAlignment="1">
      <alignment horizontal="left" vertical="center"/>
    </xf>
    <xf numFmtId="3" fontId="22" fillId="13" borderId="61" xfId="0" applyNumberFormat="1" applyFont="1" applyFill="1" applyBorder="1" applyAlignment="1">
      <alignment vertical="center" wrapText="1"/>
    </xf>
    <xf numFmtId="3" fontId="18" fillId="2" borderId="0" xfId="0" applyNumberFormat="1" applyFont="1" applyFill="1" applyBorder="1" applyAlignment="1">
      <alignment vertical="center" wrapText="1"/>
    </xf>
    <xf numFmtId="0" fontId="23" fillId="0" borderId="13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65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/>
    </xf>
    <xf numFmtId="0" fontId="3" fillId="0" borderId="0" xfId="0" applyFont="1" applyFill="1" applyBorder="1" applyAlignment="1">
      <alignment vertical="center" wrapText="1"/>
    </xf>
    <xf numFmtId="3" fontId="3" fillId="0" borderId="0" xfId="0" applyNumberFormat="1" applyFont="1" applyFill="1" applyBorder="1" applyAlignment="1">
      <alignment vertical="center" wrapText="1"/>
    </xf>
    <xf numFmtId="3" fontId="13" fillId="2" borderId="3" xfId="0" applyNumberFormat="1" applyFont="1" applyFill="1" applyBorder="1" applyAlignment="1">
      <alignment vertical="center" wrapText="1"/>
    </xf>
    <xf numFmtId="3" fontId="13" fillId="14" borderId="3" xfId="0" applyNumberFormat="1" applyFont="1" applyFill="1" applyBorder="1" applyAlignment="1">
      <alignment vertical="center" wrapText="1"/>
    </xf>
    <xf numFmtId="3" fontId="13" fillId="2" borderId="66" xfId="0" applyNumberFormat="1" applyFont="1" applyFill="1" applyBorder="1" applyAlignment="1">
      <alignment vertical="center" wrapText="1"/>
    </xf>
    <xf numFmtId="3" fontId="33" fillId="2" borderId="0" xfId="0" applyNumberFormat="1" applyFont="1" applyFill="1" applyBorder="1" applyAlignment="1">
      <alignment vertical="center" wrapText="1"/>
    </xf>
    <xf numFmtId="3" fontId="33" fillId="14" borderId="0" xfId="0" applyNumberFormat="1" applyFont="1" applyFill="1" applyBorder="1" applyAlignment="1">
      <alignment vertical="center" wrapText="1"/>
    </xf>
    <xf numFmtId="3" fontId="33" fillId="2" borderId="67" xfId="0" applyNumberFormat="1" applyFont="1" applyFill="1" applyBorder="1" applyAlignment="1">
      <alignment vertical="center" wrapText="1"/>
    </xf>
    <xf numFmtId="3" fontId="17" fillId="2" borderId="68" xfId="0" applyNumberFormat="1" applyFont="1" applyFill="1" applyBorder="1" applyAlignment="1">
      <alignment vertical="center" wrapText="1"/>
    </xf>
    <xf numFmtId="3" fontId="17" fillId="2" borderId="24" xfId="0" applyNumberFormat="1" applyFont="1" applyFill="1" applyBorder="1" applyAlignment="1">
      <alignment vertical="center" wrapText="1"/>
    </xf>
    <xf numFmtId="3" fontId="33" fillId="2" borderId="24" xfId="0" applyNumberFormat="1" applyFont="1" applyFill="1" applyBorder="1" applyAlignment="1">
      <alignment vertical="center" wrapText="1"/>
    </xf>
    <xf numFmtId="3" fontId="33" fillId="14" borderId="24" xfId="0" applyNumberFormat="1" applyFont="1" applyFill="1" applyBorder="1" applyAlignment="1">
      <alignment vertical="center" wrapText="1"/>
    </xf>
    <xf numFmtId="3" fontId="33" fillId="2" borderId="69" xfId="0" applyNumberFormat="1" applyFont="1" applyFill="1" applyBorder="1" applyAlignment="1">
      <alignment vertical="center" wrapText="1"/>
    </xf>
    <xf numFmtId="3" fontId="34" fillId="0" borderId="0" xfId="0" applyNumberFormat="1" applyFont="1" applyFill="1" applyBorder="1" applyAlignment="1">
      <alignment vertical="center" wrapText="1"/>
    </xf>
    <xf numFmtId="3" fontId="20" fillId="0" borderId="0" xfId="0" applyNumberFormat="1" applyFont="1" applyFill="1" applyBorder="1" applyAlignment="1">
      <alignment vertical="center" wrapText="1"/>
    </xf>
    <xf numFmtId="3" fontId="20" fillId="2" borderId="0" xfId="0" applyNumberFormat="1" applyFont="1" applyFill="1" applyBorder="1" applyAlignment="1">
      <alignment vertical="center" wrapText="1"/>
    </xf>
    <xf numFmtId="0" fontId="3" fillId="15" borderId="15" xfId="0" applyFont="1" applyFill="1" applyBorder="1"/>
    <xf numFmtId="0" fontId="3" fillId="15" borderId="3" xfId="0" applyFont="1" applyFill="1" applyBorder="1"/>
    <xf numFmtId="3" fontId="14" fillId="15" borderId="12" xfId="0" applyNumberFormat="1" applyFont="1" applyFill="1" applyBorder="1" applyAlignment="1">
      <alignment vertical="center"/>
    </xf>
    <xf numFmtId="3" fontId="13" fillId="15" borderId="12" xfId="0" applyNumberFormat="1" applyFont="1" applyFill="1" applyBorder="1" applyAlignment="1">
      <alignment vertical="center"/>
    </xf>
    <xf numFmtId="3" fontId="14" fillId="15" borderId="24" xfId="0" applyNumberFormat="1" applyFont="1" applyFill="1" applyBorder="1" applyAlignment="1">
      <alignment vertical="center"/>
    </xf>
    <xf numFmtId="0" fontId="35" fillId="6" borderId="20" xfId="0" applyFont="1" applyFill="1" applyBorder="1" applyAlignment="1">
      <alignment vertical="center" wrapText="1"/>
    </xf>
    <xf numFmtId="3" fontId="36" fillId="6" borderId="70" xfId="0" applyNumberFormat="1" applyFont="1" applyFill="1" applyBorder="1"/>
    <xf numFmtId="3" fontId="19" fillId="6" borderId="70" xfId="0" applyNumberFormat="1" applyFont="1" applyFill="1" applyBorder="1"/>
    <xf numFmtId="3" fontId="36" fillId="6" borderId="30" xfId="0" applyNumberFormat="1" applyFont="1" applyFill="1" applyBorder="1"/>
    <xf numFmtId="3" fontId="36" fillId="6" borderId="29" xfId="0" applyNumberFormat="1" applyFont="1" applyFill="1" applyBorder="1"/>
    <xf numFmtId="3" fontId="19" fillId="6" borderId="35" xfId="0" applyNumberFormat="1" applyFont="1" applyFill="1" applyBorder="1"/>
    <xf numFmtId="0" fontId="17" fillId="6" borderId="28" xfId="0" applyFont="1" applyFill="1" applyBorder="1" applyAlignment="1">
      <alignment vertical="center" wrapText="1"/>
    </xf>
    <xf numFmtId="3" fontId="19" fillId="6" borderId="71" xfId="0" applyNumberFormat="1" applyFont="1" applyFill="1" applyBorder="1"/>
    <xf numFmtId="3" fontId="19" fillId="6" borderId="71" xfId="0" applyNumberFormat="1" applyFont="1" applyFill="1" applyBorder="1" applyAlignment="1">
      <alignment vertical="center"/>
    </xf>
    <xf numFmtId="3" fontId="19" fillId="6" borderId="30" xfId="0" applyNumberFormat="1" applyFont="1" applyFill="1" applyBorder="1"/>
    <xf numFmtId="3" fontId="19" fillId="6" borderId="63" xfId="0" applyNumberFormat="1" applyFont="1" applyFill="1" applyBorder="1"/>
    <xf numFmtId="0" fontId="17" fillId="6" borderId="37" xfId="0" applyFont="1" applyFill="1" applyBorder="1" applyAlignment="1">
      <alignment vertical="center" wrapText="1"/>
    </xf>
    <xf numFmtId="3" fontId="16" fillId="6" borderId="47" xfId="0" applyNumberFormat="1" applyFont="1" applyFill="1" applyBorder="1"/>
    <xf numFmtId="3" fontId="16" fillId="6" borderId="72" xfId="0" applyNumberFormat="1" applyFont="1" applyFill="1" applyBorder="1"/>
    <xf numFmtId="3" fontId="19" fillId="6" borderId="47" xfId="0" applyNumberFormat="1" applyFont="1" applyFill="1" applyBorder="1"/>
    <xf numFmtId="3" fontId="14" fillId="12" borderId="0" xfId="0" applyNumberFormat="1" applyFont="1" applyFill="1" applyBorder="1" applyAlignment="1">
      <alignment horizontal="right"/>
    </xf>
    <xf numFmtId="3" fontId="37" fillId="12" borderId="0" xfId="0" applyNumberFormat="1" applyFont="1" applyFill="1" applyBorder="1"/>
    <xf numFmtId="3" fontId="38" fillId="12" borderId="0" xfId="0" applyNumberFormat="1" applyFont="1" applyFill="1" applyBorder="1"/>
    <xf numFmtId="3" fontId="37" fillId="12" borderId="27" xfId="0" applyNumberFormat="1" applyFont="1" applyFill="1" applyBorder="1"/>
    <xf numFmtId="3" fontId="37" fillId="12" borderId="13" xfId="0" applyNumberFormat="1" applyFont="1" applyFill="1" applyBorder="1"/>
    <xf numFmtId="0" fontId="14" fillId="8" borderId="0" xfId="0" applyFont="1" applyFill="1" applyBorder="1" applyAlignment="1">
      <alignment horizontal="right"/>
    </xf>
    <xf numFmtId="3" fontId="37" fillId="8" borderId="0" xfId="0" applyNumberFormat="1" applyFont="1" applyFill="1" applyBorder="1"/>
    <xf numFmtId="0" fontId="14" fillId="15" borderId="51" xfId="0" applyFont="1" applyFill="1" applyBorder="1" applyAlignment="1">
      <alignment horizontal="center" wrapText="1"/>
    </xf>
    <xf numFmtId="3" fontId="14" fillId="15" borderId="39" xfId="0" applyNumberFormat="1" applyFont="1" applyFill="1" applyBorder="1"/>
    <xf numFmtId="3" fontId="13" fillId="15" borderId="39" xfId="0" applyNumberFormat="1" applyFont="1" applyFill="1" applyBorder="1"/>
    <xf numFmtId="3" fontId="14" fillId="15" borderId="51" xfId="0" applyNumberFormat="1" applyFont="1" applyFill="1" applyBorder="1" applyAlignment="1">
      <alignment horizontal="center"/>
    </xf>
    <xf numFmtId="0" fontId="17" fillId="6" borderId="20" xfId="0" applyFont="1" applyFill="1" applyBorder="1" applyAlignment="1">
      <alignment vertical="center" wrapText="1"/>
    </xf>
    <xf numFmtId="3" fontId="3" fillId="6" borderId="70" xfId="0" applyNumberFormat="1" applyFont="1" applyFill="1" applyBorder="1"/>
    <xf numFmtId="3" fontId="3" fillId="6" borderId="17" xfId="0" applyNumberFormat="1" applyFont="1" applyFill="1" applyBorder="1"/>
    <xf numFmtId="3" fontId="3" fillId="6" borderId="30" xfId="0" applyNumberFormat="1" applyFont="1" applyFill="1" applyBorder="1"/>
    <xf numFmtId="3" fontId="3" fillId="6" borderId="29" xfId="0" applyNumberFormat="1" applyFont="1" applyFill="1" applyBorder="1"/>
    <xf numFmtId="0" fontId="17" fillId="6" borderId="73" xfId="0" applyFont="1" applyFill="1" applyBorder="1" applyAlignment="1">
      <alignment vertical="center" wrapText="1"/>
    </xf>
    <xf numFmtId="3" fontId="3" fillId="6" borderId="63" xfId="0" applyNumberFormat="1" applyFont="1" applyFill="1" applyBorder="1"/>
    <xf numFmtId="3" fontId="3" fillId="6" borderId="47" xfId="0" applyNumberFormat="1" applyFont="1" applyFill="1" applyBorder="1"/>
    <xf numFmtId="3" fontId="3" fillId="6" borderId="72" xfId="0" applyNumberFormat="1" applyFont="1" applyFill="1" applyBorder="1"/>
    <xf numFmtId="3" fontId="3" fillId="12" borderId="0" xfId="0" applyNumberFormat="1" applyFont="1" applyFill="1" applyBorder="1" applyAlignment="1">
      <alignment horizontal="right"/>
    </xf>
    <xf numFmtId="0" fontId="3" fillId="12" borderId="8" xfId="0" applyFont="1" applyFill="1" applyBorder="1" applyAlignment="1">
      <alignment horizontal="right"/>
    </xf>
    <xf numFmtId="3" fontId="37" fillId="12" borderId="8" xfId="0" applyNumberFormat="1" applyFont="1" applyFill="1" applyBorder="1"/>
    <xf numFmtId="0" fontId="3" fillId="16" borderId="15" xfId="0" applyFont="1" applyFill="1" applyBorder="1"/>
    <xf numFmtId="0" fontId="3" fillId="16" borderId="2" xfId="0" applyFont="1" applyFill="1" applyBorder="1"/>
    <xf numFmtId="0" fontId="3" fillId="16" borderId="3" xfId="0" applyFont="1" applyFill="1" applyBorder="1"/>
    <xf numFmtId="0" fontId="3" fillId="16" borderId="5" xfId="0" applyFont="1" applyFill="1" applyBorder="1"/>
    <xf numFmtId="0" fontId="3" fillId="16" borderId="4" xfId="0" applyFont="1" applyFill="1" applyBorder="1"/>
    <xf numFmtId="3" fontId="14" fillId="16" borderId="12" xfId="5" applyNumberFormat="1" applyFont="1" applyFill="1" applyBorder="1"/>
    <xf numFmtId="3" fontId="13" fillId="16" borderId="12" xfId="5" applyNumberFormat="1" applyFont="1" applyFill="1" applyBorder="1"/>
    <xf numFmtId="3" fontId="14" fillId="16" borderId="74" xfId="5" applyNumberFormat="1" applyFont="1" applyFill="1" applyBorder="1"/>
    <xf numFmtId="0" fontId="17" fillId="8" borderId="20" xfId="0" applyFont="1" applyFill="1" applyBorder="1" applyAlignment="1">
      <alignment vertical="center" wrapText="1"/>
    </xf>
    <xf numFmtId="3" fontId="3" fillId="8" borderId="30" xfId="0" applyNumberFormat="1" applyFont="1" applyFill="1" applyBorder="1"/>
    <xf numFmtId="3" fontId="3" fillId="8" borderId="71" xfId="0" applyNumberFormat="1" applyFont="1" applyFill="1" applyBorder="1"/>
    <xf numFmtId="3" fontId="3" fillId="8" borderId="31" xfId="0" applyNumberFormat="1" applyFont="1" applyFill="1" applyBorder="1"/>
    <xf numFmtId="3" fontId="3" fillId="8" borderId="32" xfId="0" applyNumberFormat="1" applyFont="1" applyFill="1" applyBorder="1"/>
    <xf numFmtId="3" fontId="3" fillId="8" borderId="29" xfId="0" applyNumberFormat="1" applyFont="1" applyFill="1" applyBorder="1"/>
    <xf numFmtId="0" fontId="17" fillId="8" borderId="28" xfId="0" applyFont="1" applyFill="1" applyBorder="1" applyAlignment="1">
      <alignment vertical="center" wrapText="1"/>
    </xf>
    <xf numFmtId="0" fontId="17" fillId="8" borderId="28" xfId="0" applyFont="1" applyFill="1" applyBorder="1" applyAlignment="1">
      <alignment vertical="center"/>
    </xf>
    <xf numFmtId="0" fontId="17" fillId="8" borderId="73" xfId="0" applyFont="1" applyFill="1" applyBorder="1" applyAlignment="1">
      <alignment vertical="center"/>
    </xf>
    <xf numFmtId="3" fontId="3" fillId="8" borderId="63" xfId="0" applyNumberFormat="1" applyFont="1" applyFill="1" applyBorder="1"/>
    <xf numFmtId="3" fontId="3" fillId="8" borderId="62" xfId="0" applyNumberFormat="1" applyFont="1" applyFill="1" applyBorder="1"/>
    <xf numFmtId="3" fontId="3" fillId="8" borderId="33" xfId="0" applyNumberFormat="1" applyFont="1" applyFill="1" applyBorder="1"/>
    <xf numFmtId="3" fontId="3" fillId="8" borderId="65" xfId="0" applyNumberFormat="1" applyFont="1" applyFill="1" applyBorder="1"/>
    <xf numFmtId="0" fontId="17" fillId="8" borderId="37" xfId="0" applyFont="1" applyFill="1" applyBorder="1" applyAlignment="1">
      <alignment vertical="center" wrapText="1"/>
    </xf>
    <xf numFmtId="3" fontId="3" fillId="8" borderId="47" xfId="0" applyNumberFormat="1" applyFont="1" applyFill="1" applyBorder="1"/>
    <xf numFmtId="3" fontId="3" fillId="8" borderId="75" xfId="0" applyNumberFormat="1" applyFont="1" applyFill="1" applyBorder="1"/>
    <xf numFmtId="3" fontId="3" fillId="8" borderId="77" xfId="0" applyNumberFormat="1" applyFont="1" applyFill="1" applyBorder="1"/>
    <xf numFmtId="3" fontId="3" fillId="8" borderId="72" xfId="0" applyNumberFormat="1" applyFont="1" applyFill="1" applyBorder="1"/>
    <xf numFmtId="0" fontId="17" fillId="17" borderId="0" xfId="0" applyFont="1" applyFill="1" applyBorder="1" applyAlignment="1">
      <alignment vertical="center" wrapText="1"/>
    </xf>
    <xf numFmtId="3" fontId="38" fillId="17" borderId="0" xfId="0" applyNumberFormat="1" applyFont="1" applyFill="1" applyBorder="1"/>
    <xf numFmtId="3" fontId="38" fillId="17" borderId="13" xfId="0" applyNumberFormat="1" applyFont="1" applyFill="1" applyBorder="1"/>
    <xf numFmtId="3" fontId="38" fillId="17" borderId="11" xfId="0" applyNumberFormat="1" applyFont="1" applyFill="1" applyBorder="1"/>
    <xf numFmtId="0" fontId="8" fillId="8" borderId="0" xfId="0" applyFont="1" applyFill="1" applyBorder="1" applyAlignment="1">
      <alignment horizontal="right" vertical="center" wrapText="1"/>
    </xf>
    <xf numFmtId="3" fontId="38" fillId="8" borderId="0" xfId="0" applyNumberFormat="1" applyFont="1" applyFill="1" applyBorder="1"/>
    <xf numFmtId="3" fontId="38" fillId="8" borderId="13" xfId="0" applyNumberFormat="1" applyFont="1" applyFill="1" applyBorder="1"/>
    <xf numFmtId="3" fontId="38" fillId="8" borderId="11" xfId="0" applyNumberFormat="1" applyFont="1" applyFill="1" applyBorder="1"/>
    <xf numFmtId="3" fontId="13" fillId="8" borderId="0" xfId="0" applyNumberFormat="1" applyFont="1" applyFill="1" applyBorder="1"/>
    <xf numFmtId="3" fontId="13" fillId="8" borderId="13" xfId="0" applyNumberFormat="1" applyFont="1" applyFill="1" applyBorder="1"/>
    <xf numFmtId="3" fontId="13" fillId="8" borderId="11" xfId="0" applyNumberFormat="1" applyFont="1" applyFill="1" applyBorder="1"/>
    <xf numFmtId="0" fontId="14" fillId="16" borderId="51" xfId="0" applyFont="1" applyFill="1" applyBorder="1" applyAlignment="1">
      <alignment horizontal="center" wrapText="1"/>
    </xf>
    <xf numFmtId="3" fontId="13" fillId="16" borderId="39" xfId="5" applyNumberFormat="1" applyFont="1" applyFill="1" applyBorder="1"/>
    <xf numFmtId="3" fontId="13" fillId="16" borderId="78" xfId="5" applyNumberFormat="1" applyFont="1" applyFill="1" applyBorder="1"/>
    <xf numFmtId="3" fontId="13" fillId="16" borderId="52" xfId="5" applyNumberFormat="1" applyFont="1" applyFill="1" applyBorder="1"/>
    <xf numFmtId="3" fontId="13" fillId="16" borderId="50" xfId="5" applyNumberFormat="1" applyFont="1" applyFill="1" applyBorder="1"/>
    <xf numFmtId="3" fontId="3" fillId="8" borderId="70" xfId="0" applyNumberFormat="1" applyFont="1" applyFill="1" applyBorder="1"/>
    <xf numFmtId="3" fontId="3" fillId="8" borderId="79" xfId="0" applyNumberFormat="1" applyFont="1" applyFill="1" applyBorder="1"/>
    <xf numFmtId="3" fontId="3" fillId="8" borderId="19" xfId="0" applyNumberFormat="1" applyFont="1" applyFill="1" applyBorder="1"/>
    <xf numFmtId="3" fontId="3" fillId="8" borderId="17" xfId="0" applyNumberFormat="1" applyFont="1" applyFill="1" applyBorder="1"/>
    <xf numFmtId="0" fontId="17" fillId="8" borderId="73" xfId="0" applyFont="1" applyFill="1" applyBorder="1" applyAlignment="1">
      <alignment vertical="center" wrapText="1"/>
    </xf>
    <xf numFmtId="0" fontId="3" fillId="17" borderId="0" xfId="0" applyFont="1" applyFill="1" applyBorder="1" applyAlignment="1">
      <alignment horizontal="right"/>
    </xf>
    <xf numFmtId="3" fontId="23" fillId="17" borderId="0" xfId="0" applyNumberFormat="1" applyFont="1" applyFill="1" applyBorder="1"/>
    <xf numFmtId="3" fontId="23" fillId="17" borderId="13" xfId="0" applyNumberFormat="1" applyFont="1" applyFill="1" applyBorder="1"/>
    <xf numFmtId="3" fontId="23" fillId="17" borderId="11" xfId="0" applyNumberFormat="1" applyFont="1" applyFill="1" applyBorder="1"/>
    <xf numFmtId="3" fontId="3" fillId="17" borderId="0" xfId="0" applyNumberFormat="1" applyFont="1" applyFill="1" applyBorder="1"/>
    <xf numFmtId="0" fontId="14" fillId="0" borderId="27" xfId="0" applyFont="1" applyBorder="1" applyAlignment="1">
      <alignment horizontal="center" vertical="center"/>
    </xf>
    <xf numFmtId="0" fontId="21" fillId="0" borderId="63" xfId="0" applyFont="1" applyBorder="1" applyAlignment="1">
      <alignment horizontal="center" vertical="center"/>
    </xf>
    <xf numFmtId="0" fontId="23" fillId="0" borderId="33" xfId="0" applyFont="1" applyBorder="1" applyAlignment="1">
      <alignment horizontal="center" vertical="center"/>
    </xf>
    <xf numFmtId="0" fontId="17" fillId="11" borderId="20" xfId="0" applyFont="1" applyFill="1" applyBorder="1" applyAlignment="1">
      <alignment vertical="center" wrapText="1"/>
    </xf>
    <xf numFmtId="3" fontId="19" fillId="11" borderId="70" xfId="0" applyNumberFormat="1" applyFont="1" applyFill="1" applyBorder="1"/>
    <xf numFmtId="3" fontId="19" fillId="11" borderId="79" xfId="0" applyNumberFormat="1" applyFont="1" applyFill="1" applyBorder="1"/>
    <xf numFmtId="3" fontId="19" fillId="11" borderId="19" xfId="0" applyNumberFormat="1" applyFont="1" applyFill="1" applyBorder="1"/>
    <xf numFmtId="3" fontId="19" fillId="11" borderId="17" xfId="0" applyNumberFormat="1" applyFont="1" applyFill="1" applyBorder="1"/>
    <xf numFmtId="0" fontId="17" fillId="11" borderId="28" xfId="0" applyFont="1" applyFill="1" applyBorder="1" applyAlignment="1">
      <alignment vertical="center" wrapText="1"/>
    </xf>
    <xf numFmtId="3" fontId="19" fillId="11" borderId="30" xfId="0" applyNumberFormat="1" applyFont="1" applyFill="1" applyBorder="1"/>
    <xf numFmtId="3" fontId="19" fillId="11" borderId="71" xfId="0" applyNumberFormat="1" applyFont="1" applyFill="1" applyBorder="1"/>
    <xf numFmtId="3" fontId="19" fillId="11" borderId="32" xfId="0" applyNumberFormat="1" applyFont="1" applyFill="1" applyBorder="1"/>
    <xf numFmtId="3" fontId="19" fillId="11" borderId="29" xfId="0" applyNumberFormat="1" applyFont="1" applyFill="1" applyBorder="1"/>
    <xf numFmtId="0" fontId="17" fillId="11" borderId="73" xfId="0" applyFont="1" applyFill="1" applyBorder="1" applyAlignment="1">
      <alignment vertical="center" wrapText="1"/>
    </xf>
    <xf numFmtId="0" fontId="17" fillId="11" borderId="37" xfId="0" applyFont="1" applyFill="1" applyBorder="1" applyAlignment="1">
      <alignment vertical="center" wrapText="1"/>
    </xf>
    <xf numFmtId="3" fontId="19" fillId="11" borderId="47" xfId="0" applyNumberFormat="1" applyFont="1" applyFill="1" applyBorder="1"/>
    <xf numFmtId="3" fontId="19" fillId="11" borderId="75" xfId="0" applyNumberFormat="1" applyFont="1" applyFill="1" applyBorder="1"/>
    <xf numFmtId="3" fontId="19" fillId="11" borderId="77" xfId="0" applyNumberFormat="1" applyFont="1" applyFill="1" applyBorder="1"/>
    <xf numFmtId="3" fontId="19" fillId="11" borderId="72" xfId="0" applyNumberFormat="1" applyFont="1" applyFill="1" applyBorder="1"/>
    <xf numFmtId="0" fontId="14" fillId="18" borderId="51" xfId="0" applyFont="1" applyFill="1" applyBorder="1" applyAlignment="1">
      <alignment horizontal="right"/>
    </xf>
    <xf numFmtId="3" fontId="37" fillId="18" borderId="51" xfId="0" applyNumberFormat="1" applyFont="1" applyFill="1" applyBorder="1" applyAlignment="1">
      <alignment vertical="top"/>
    </xf>
    <xf numFmtId="3" fontId="38" fillId="18" borderId="51" xfId="0" applyNumberFormat="1" applyFont="1" applyFill="1" applyBorder="1" applyAlignment="1">
      <alignment vertical="top"/>
    </xf>
    <xf numFmtId="3" fontId="37" fillId="18" borderId="39" xfId="0" applyNumberFormat="1" applyFont="1" applyFill="1" applyBorder="1" applyAlignment="1">
      <alignment vertical="top"/>
    </xf>
    <xf numFmtId="3" fontId="37" fillId="18" borderId="52" xfId="0" applyNumberFormat="1" applyFont="1" applyFill="1" applyBorder="1" applyAlignment="1">
      <alignment vertical="top"/>
    </xf>
    <xf numFmtId="3" fontId="37" fillId="18" borderId="50" xfId="0" applyNumberFormat="1" applyFont="1" applyFill="1" applyBorder="1" applyAlignment="1">
      <alignment vertical="top"/>
    </xf>
    <xf numFmtId="0" fontId="37" fillId="0" borderId="0" xfId="0" applyFont="1" applyBorder="1" applyAlignment="1">
      <alignment horizontal="right"/>
    </xf>
    <xf numFmtId="3" fontId="37" fillId="2" borderId="0" xfId="0" applyNumberFormat="1" applyFont="1" applyFill="1" applyBorder="1" applyAlignment="1">
      <alignment vertical="top"/>
    </xf>
    <xf numFmtId="3" fontId="38" fillId="2" borderId="0" xfId="0" applyNumberFormat="1" applyFont="1" applyFill="1" applyBorder="1" applyAlignment="1">
      <alignment vertical="top"/>
    </xf>
    <xf numFmtId="3" fontId="37" fillId="2" borderId="13" xfId="0" applyNumberFormat="1" applyFont="1" applyFill="1" applyBorder="1" applyAlignment="1">
      <alignment vertical="top"/>
    </xf>
    <xf numFmtId="3" fontId="37" fillId="2" borderId="11" xfId="0" applyNumberFormat="1" applyFont="1" applyFill="1" applyBorder="1" applyAlignment="1">
      <alignment vertical="top"/>
    </xf>
    <xf numFmtId="0" fontId="14" fillId="18" borderId="51" xfId="0" applyFont="1" applyFill="1" applyBorder="1" applyAlignment="1">
      <alignment horizontal="center"/>
    </xf>
    <xf numFmtId="3" fontId="14" fillId="18" borderId="39" xfId="0" applyNumberFormat="1" applyFont="1" applyFill="1" applyBorder="1"/>
    <xf numFmtId="3" fontId="14" fillId="18" borderId="78" xfId="0" applyNumberFormat="1" applyFont="1" applyFill="1" applyBorder="1"/>
    <xf numFmtId="3" fontId="14" fillId="18" borderId="52" xfId="0" applyNumberFormat="1" applyFont="1" applyFill="1" applyBorder="1"/>
    <xf numFmtId="3" fontId="14" fillId="18" borderId="50" xfId="0" applyNumberFormat="1" applyFont="1" applyFill="1" applyBorder="1"/>
    <xf numFmtId="3" fontId="3" fillId="11" borderId="70" xfId="0" applyNumberFormat="1" applyFont="1" applyFill="1" applyBorder="1"/>
    <xf numFmtId="3" fontId="3" fillId="11" borderId="30" xfId="0" applyNumberFormat="1" applyFont="1" applyFill="1" applyBorder="1"/>
    <xf numFmtId="0" fontId="3" fillId="18" borderId="24" xfId="0" applyFont="1" applyFill="1" applyBorder="1" applyAlignment="1">
      <alignment horizontal="right"/>
    </xf>
    <xf numFmtId="3" fontId="3" fillId="18" borderId="24" xfId="0" applyNumberFormat="1" applyFont="1" applyFill="1" applyBorder="1"/>
    <xf numFmtId="3" fontId="3" fillId="18" borderId="12" xfId="0" applyNumberFormat="1" applyFont="1" applyFill="1" applyBorder="1"/>
    <xf numFmtId="3" fontId="3" fillId="18" borderId="25" xfId="0" applyNumberFormat="1" applyFont="1" applyFill="1" applyBorder="1"/>
    <xf numFmtId="0" fontId="3" fillId="0" borderId="13" xfId="0" applyFont="1" applyBorder="1"/>
    <xf numFmtId="0" fontId="3" fillId="0" borderId="11" xfId="0" applyFont="1" applyBorder="1"/>
    <xf numFmtId="3" fontId="37" fillId="0" borderId="0" xfId="0" applyNumberFormat="1" applyFont="1" applyBorder="1"/>
    <xf numFmtId="3" fontId="38" fillId="0" borderId="0" xfId="0" applyNumberFormat="1" applyFont="1" applyBorder="1"/>
    <xf numFmtId="3" fontId="37" fillId="0" borderId="13" xfId="0" applyNumberFormat="1" applyFont="1" applyBorder="1"/>
    <xf numFmtId="3" fontId="37" fillId="0" borderId="11" xfId="0" applyNumberFormat="1" applyFont="1" applyBorder="1"/>
    <xf numFmtId="3" fontId="3" fillId="0" borderId="0" xfId="0" applyNumberFormat="1" applyFont="1" applyBorder="1"/>
    <xf numFmtId="3" fontId="3" fillId="0" borderId="13" xfId="0" applyNumberFormat="1" applyFont="1" applyBorder="1"/>
    <xf numFmtId="3" fontId="3" fillId="0" borderId="25" xfId="0" applyNumberFormat="1" applyFont="1" applyBorder="1"/>
    <xf numFmtId="0" fontId="39" fillId="0" borderId="3" xfId="0" applyFont="1" applyBorder="1" applyAlignment="1">
      <alignment wrapText="1"/>
    </xf>
    <xf numFmtId="0" fontId="3" fillId="0" borderId="3" xfId="0" applyFont="1" applyBorder="1"/>
    <xf numFmtId="0" fontId="7" fillId="0" borderId="3" xfId="0" applyFont="1" applyBorder="1"/>
    <xf numFmtId="0" fontId="7" fillId="0" borderId="0" xfId="0" applyFont="1" applyBorder="1"/>
    <xf numFmtId="0" fontId="3" fillId="0" borderId="24" xfId="0" applyFont="1" applyBorder="1"/>
    <xf numFmtId="0" fontId="7" fillId="0" borderId="24" xfId="0" applyFont="1" applyBorder="1"/>
    <xf numFmtId="0" fontId="3" fillId="0" borderId="27" xfId="0" applyFont="1" applyBorder="1"/>
    <xf numFmtId="0" fontId="3" fillId="0" borderId="10" xfId="0" applyFont="1" applyBorder="1"/>
    <xf numFmtId="0" fontId="2" fillId="0" borderId="0" xfId="0" applyFont="1"/>
    <xf numFmtId="0" fontId="42" fillId="0" borderId="0" xfId="0" applyFont="1" applyFill="1" applyAlignment="1"/>
    <xf numFmtId="0" fontId="44" fillId="0" borderId="0" xfId="0" applyFont="1" applyFill="1" applyAlignment="1"/>
    <xf numFmtId="0" fontId="45" fillId="2" borderId="0" xfId="3" applyFont="1" applyFill="1" applyBorder="1" applyAlignment="1">
      <alignment horizontal="right" vertical="center"/>
    </xf>
    <xf numFmtId="0" fontId="46" fillId="2" borderId="0" xfId="0" applyFont="1" applyFill="1" applyBorder="1" applyAlignment="1">
      <alignment horizontal="right" vertical="center"/>
    </xf>
    <xf numFmtId="0" fontId="44" fillId="0" borderId="0" xfId="0" applyFont="1" applyFill="1" applyAlignment="1">
      <alignment horizontal="left"/>
    </xf>
    <xf numFmtId="0" fontId="48" fillId="0" borderId="5" xfId="4" applyFont="1" applyBorder="1" applyAlignment="1">
      <alignment horizontal="center" vertical="top"/>
    </xf>
    <xf numFmtId="0" fontId="48" fillId="0" borderId="66" xfId="4" applyFont="1" applyBorder="1" applyAlignment="1">
      <alignment horizontal="center" vertical="top"/>
    </xf>
    <xf numFmtId="3" fontId="7" fillId="0" borderId="0" xfId="0" applyNumberFormat="1" applyFont="1"/>
    <xf numFmtId="0" fontId="48" fillId="0" borderId="25" xfId="4" applyFont="1" applyBorder="1" applyAlignment="1">
      <alignment horizontal="center" vertical="top"/>
    </xf>
    <xf numFmtId="0" fontId="48" fillId="0" borderId="69" xfId="4" applyFont="1" applyBorder="1" applyAlignment="1">
      <alignment horizontal="center" vertical="top"/>
    </xf>
    <xf numFmtId="0" fontId="55" fillId="0" borderId="12" xfId="0" applyFont="1" applyBorder="1" applyAlignment="1">
      <alignment horizontal="center" vertical="center"/>
    </xf>
    <xf numFmtId="0" fontId="49" fillId="0" borderId="52" xfId="4" applyFont="1" applyBorder="1" applyAlignment="1">
      <alignment horizontal="center" vertical="center"/>
    </xf>
    <xf numFmtId="0" fontId="49" fillId="0" borderId="80" xfId="4" applyFont="1" applyBorder="1" applyAlignment="1">
      <alignment horizontal="center" vertical="center"/>
    </xf>
    <xf numFmtId="0" fontId="53" fillId="0" borderId="38" xfId="0" applyFont="1" applyBorder="1" applyAlignment="1">
      <alignment horizontal="center" vertical="center" wrapText="1"/>
    </xf>
    <xf numFmtId="0" fontId="53" fillId="0" borderId="51" xfId="6" applyFont="1" applyBorder="1" applyAlignment="1">
      <alignment horizontal="center" vertical="center" wrapText="1"/>
    </xf>
    <xf numFmtId="0" fontId="53" fillId="0" borderId="39" xfId="0" applyFont="1" applyBorder="1" applyAlignment="1">
      <alignment horizontal="center" vertical="center" wrapText="1"/>
    </xf>
    <xf numFmtId="0" fontId="49" fillId="0" borderId="50" xfId="0" applyFont="1" applyBorder="1" applyAlignment="1">
      <alignment horizontal="center" vertical="center"/>
    </xf>
    <xf numFmtId="0" fontId="52" fillId="0" borderId="50" xfId="4" applyFont="1" applyBorder="1" applyAlignment="1">
      <alignment horizontal="center" vertical="center" wrapText="1"/>
    </xf>
    <xf numFmtId="0" fontId="53" fillId="0" borderId="50" xfId="6" applyFont="1" applyBorder="1" applyAlignment="1">
      <alignment horizontal="center" vertical="center"/>
    </xf>
    <xf numFmtId="0" fontId="53" fillId="0" borderId="39" xfId="6" applyFont="1" applyBorder="1" applyAlignment="1">
      <alignment horizontal="center" vertical="center"/>
    </xf>
    <xf numFmtId="0" fontId="53" fillId="19" borderId="39" xfId="0" applyFont="1" applyFill="1" applyBorder="1" applyAlignment="1">
      <alignment horizontal="center" vertical="center" wrapText="1"/>
    </xf>
    <xf numFmtId="0" fontId="52" fillId="0" borderId="80" xfId="4" applyFont="1" applyBorder="1" applyAlignment="1">
      <alignment horizontal="center" vertical="center" wrapText="1"/>
    </xf>
    <xf numFmtId="3" fontId="58" fillId="22" borderId="70" xfId="4" applyNumberFormat="1" applyFont="1" applyFill="1" applyBorder="1" applyAlignment="1">
      <alignment horizontal="right" vertical="center"/>
    </xf>
    <xf numFmtId="3" fontId="58" fillId="22" borderId="63" xfId="4" applyNumberFormat="1" applyFont="1" applyFill="1" applyBorder="1" applyAlignment="1">
      <alignment horizontal="right" vertical="center"/>
    </xf>
    <xf numFmtId="3" fontId="49" fillId="8" borderId="43" xfId="4" applyNumberFormat="1" applyFont="1" applyFill="1" applyBorder="1" applyAlignment="1">
      <alignment vertical="top" wrapText="1"/>
    </xf>
    <xf numFmtId="3" fontId="58" fillId="22" borderId="13" xfId="4" applyNumberFormat="1" applyFont="1" applyFill="1" applyBorder="1" applyAlignment="1">
      <alignment horizontal="right" vertical="center"/>
    </xf>
    <xf numFmtId="0" fontId="56" fillId="6" borderId="45" xfId="4" applyFont="1" applyFill="1" applyBorder="1" applyAlignment="1">
      <alignment horizontal="left" vertical="center"/>
    </xf>
    <xf numFmtId="0" fontId="56" fillId="6" borderId="18" xfId="4" applyFont="1" applyFill="1" applyBorder="1" applyAlignment="1">
      <alignment horizontal="left" vertical="center"/>
    </xf>
    <xf numFmtId="3" fontId="55" fillId="6" borderId="70" xfId="4" applyNumberFormat="1" applyFont="1" applyFill="1" applyBorder="1" applyAlignment="1">
      <alignment vertical="top"/>
    </xf>
    <xf numFmtId="3" fontId="55" fillId="23" borderId="70" xfId="4" applyNumberFormat="1" applyFont="1" applyFill="1" applyBorder="1" applyAlignment="1">
      <alignment vertical="top"/>
    </xf>
    <xf numFmtId="0" fontId="60" fillId="8" borderId="36" xfId="4" applyFont="1" applyFill="1" applyBorder="1" applyAlignment="1">
      <alignment vertical="top"/>
    </xf>
    <xf numFmtId="0" fontId="60" fillId="8" borderId="28" xfId="4" applyFont="1" applyFill="1" applyBorder="1" applyAlignment="1">
      <alignment vertical="top"/>
    </xf>
    <xf numFmtId="3" fontId="60" fillId="8" borderId="29" xfId="4" applyNumberFormat="1" applyFont="1" applyFill="1" applyBorder="1" applyAlignment="1">
      <alignment vertical="top"/>
    </xf>
    <xf numFmtId="3" fontId="60" fillId="24" borderId="30" xfId="4" applyNumberFormat="1" applyFont="1" applyFill="1" applyBorder="1" applyAlignment="1">
      <alignment vertical="top"/>
    </xf>
    <xf numFmtId="3" fontId="61" fillId="8" borderId="43" xfId="4" applyNumberFormat="1" applyFont="1" applyFill="1" applyBorder="1" applyAlignment="1">
      <alignment vertical="top" wrapText="1"/>
    </xf>
    <xf numFmtId="0" fontId="35" fillId="8" borderId="36" xfId="4" applyFont="1" applyFill="1" applyBorder="1" applyAlignment="1">
      <alignment vertical="top"/>
    </xf>
    <xf numFmtId="0" fontId="35" fillId="8" borderId="20" xfId="4" applyFont="1" applyFill="1" applyBorder="1" applyAlignment="1">
      <alignment vertical="top"/>
    </xf>
    <xf numFmtId="3" fontId="35" fillId="8" borderId="29" xfId="4" applyNumberFormat="1" applyFont="1" applyFill="1" applyBorder="1" applyAlignment="1">
      <alignment vertical="top"/>
    </xf>
    <xf numFmtId="3" fontId="62" fillId="24" borderId="30" xfId="4" applyNumberFormat="1" applyFont="1" applyFill="1" applyBorder="1" applyAlignment="1">
      <alignment horizontal="right" vertical="center"/>
    </xf>
    <xf numFmtId="3" fontId="35" fillId="8" borderId="34" xfId="4" applyNumberFormat="1" applyFont="1" applyFill="1" applyBorder="1" applyAlignment="1">
      <alignment vertical="top" wrapText="1"/>
    </xf>
    <xf numFmtId="3" fontId="35" fillId="8" borderId="28" xfId="4" applyNumberFormat="1" applyFont="1" applyFill="1" applyBorder="1" applyAlignment="1">
      <alignment vertical="top" wrapText="1"/>
    </xf>
    <xf numFmtId="0" fontId="49" fillId="8" borderId="43" xfId="4" applyFont="1" applyFill="1" applyBorder="1" applyAlignment="1">
      <alignment vertical="top" wrapText="1"/>
    </xf>
    <xf numFmtId="0" fontId="60" fillId="8" borderId="20" xfId="4" applyFont="1" applyFill="1" applyBorder="1" applyAlignment="1">
      <alignment vertical="top"/>
    </xf>
    <xf numFmtId="3" fontId="58" fillId="24" borderId="30" xfId="4" applyNumberFormat="1" applyFont="1" applyFill="1" applyBorder="1" applyAlignment="1">
      <alignment vertical="top"/>
    </xf>
    <xf numFmtId="0" fontId="61" fillId="8" borderId="43" xfId="4" applyFont="1" applyFill="1" applyBorder="1" applyAlignment="1">
      <alignment vertical="top" wrapText="1"/>
    </xf>
    <xf numFmtId="0" fontId="35" fillId="8" borderId="34" xfId="4" applyFont="1" applyFill="1" applyBorder="1" applyAlignment="1">
      <alignment vertical="top"/>
    </xf>
    <xf numFmtId="0" fontId="35" fillId="8" borderId="28" xfId="4" applyFont="1" applyFill="1" applyBorder="1" applyAlignment="1">
      <alignment vertical="top"/>
    </xf>
    <xf numFmtId="3" fontId="62" fillId="8" borderId="29" xfId="4" applyNumberFormat="1" applyFont="1" applyFill="1" applyBorder="1" applyAlignment="1">
      <alignment vertical="top"/>
    </xf>
    <xf numFmtId="3" fontId="35" fillId="24" borderId="30" xfId="4" applyNumberFormat="1" applyFont="1" applyFill="1" applyBorder="1" applyAlignment="1">
      <alignment vertical="top"/>
    </xf>
    <xf numFmtId="0" fontId="35" fillId="8" borderId="34" xfId="4" applyFont="1" applyFill="1" applyBorder="1" applyAlignment="1">
      <alignment vertical="top" wrapText="1"/>
    </xf>
    <xf numFmtId="0" fontId="35" fillId="8" borderId="28" xfId="4" applyFont="1" applyFill="1" applyBorder="1" applyAlignment="1">
      <alignment vertical="top" wrapText="1"/>
    </xf>
    <xf numFmtId="0" fontId="35" fillId="8" borderId="32" xfId="4" applyFont="1" applyFill="1" applyBorder="1" applyAlignment="1">
      <alignment vertical="top" wrapText="1"/>
    </xf>
    <xf numFmtId="0" fontId="56" fillId="6" borderId="32" xfId="4" applyFont="1" applyFill="1" applyBorder="1" applyAlignment="1">
      <alignment horizontal="left" vertical="center"/>
    </xf>
    <xf numFmtId="0" fontId="56" fillId="6" borderId="28" xfId="4" applyFont="1" applyFill="1" applyBorder="1" applyAlignment="1">
      <alignment horizontal="left" vertical="center"/>
    </xf>
    <xf numFmtId="3" fontId="56" fillId="6" borderId="29" xfId="4" applyNumberFormat="1" applyFont="1" applyFill="1" applyBorder="1" applyAlignment="1">
      <alignment vertical="top"/>
    </xf>
    <xf numFmtId="3" fontId="58" fillId="8" borderId="32" xfId="4" applyNumberFormat="1" applyFont="1" applyFill="1" applyBorder="1" applyAlignment="1">
      <alignment vertical="top" wrapText="1"/>
    </xf>
    <xf numFmtId="3" fontId="58" fillId="8" borderId="28" xfId="4" applyNumberFormat="1" applyFont="1" applyFill="1" applyBorder="1" applyAlignment="1">
      <alignment vertical="top" wrapText="1"/>
    </xf>
    <xf numFmtId="3" fontId="58" fillId="8" borderId="29" xfId="4" applyNumberFormat="1" applyFont="1" applyFill="1" applyBorder="1" applyAlignment="1">
      <alignment vertical="top"/>
    </xf>
    <xf numFmtId="3" fontId="58" fillId="8" borderId="20" xfId="4" applyNumberFormat="1" applyFont="1" applyFill="1" applyBorder="1" applyAlignment="1">
      <alignment vertical="top" wrapText="1"/>
    </xf>
    <xf numFmtId="0" fontId="35" fillId="8" borderId="21" xfId="4" applyFont="1" applyFill="1" applyBorder="1" applyAlignment="1">
      <alignment horizontal="left" vertical="center"/>
    </xf>
    <xf numFmtId="0" fontId="35" fillId="8" borderId="20" xfId="4" applyFont="1" applyFill="1" applyBorder="1" applyAlignment="1">
      <alignment horizontal="left" vertical="center"/>
    </xf>
    <xf numFmtId="3" fontId="35" fillId="8" borderId="20" xfId="4" applyNumberFormat="1" applyFont="1" applyFill="1" applyBorder="1" applyAlignment="1">
      <alignment horizontal="left" vertical="center"/>
    </xf>
    <xf numFmtId="0" fontId="58" fillId="8" borderId="32" xfId="4" applyFont="1" applyFill="1" applyBorder="1" applyAlignment="1">
      <alignment vertical="top"/>
    </xf>
    <xf numFmtId="0" fontId="58" fillId="8" borderId="28" xfId="4" applyFont="1" applyFill="1" applyBorder="1" applyAlignment="1">
      <alignment vertical="top"/>
    </xf>
    <xf numFmtId="3" fontId="35" fillId="8" borderId="30" xfId="4" applyNumberFormat="1" applyFont="1" applyFill="1" applyBorder="1" applyAlignment="1">
      <alignment vertical="top"/>
    </xf>
    <xf numFmtId="0" fontId="35" fillId="8" borderId="28" xfId="4" applyFont="1" applyFill="1" applyBorder="1" applyAlignment="1">
      <alignment vertical="center"/>
    </xf>
    <xf numFmtId="0" fontId="35" fillId="8" borderId="77" xfId="4" applyFont="1" applyFill="1" applyBorder="1" applyAlignment="1">
      <alignment vertical="center"/>
    </xf>
    <xf numFmtId="0" fontId="35" fillId="8" borderId="22" xfId="4" applyFont="1" applyFill="1" applyBorder="1" applyAlignment="1">
      <alignment vertical="center"/>
    </xf>
    <xf numFmtId="3" fontId="35" fillId="8" borderId="12" xfId="4" applyNumberFormat="1" applyFont="1" applyFill="1" applyBorder="1" applyAlignment="1">
      <alignment vertical="top"/>
    </xf>
    <xf numFmtId="0" fontId="55" fillId="13" borderId="6" xfId="4" applyFont="1" applyFill="1" applyBorder="1" applyAlignment="1">
      <alignment vertical="top" wrapText="1"/>
    </xf>
    <xf numFmtId="0" fontId="35" fillId="13" borderId="0" xfId="4" applyFont="1" applyFill="1" applyBorder="1" applyAlignment="1">
      <alignment horizontal="right" vertical="center"/>
    </xf>
    <xf numFmtId="3" fontId="55" fillId="13" borderId="35" xfId="4" applyNumberFormat="1" applyFont="1" applyFill="1" applyBorder="1" applyAlignment="1">
      <alignment horizontal="right" vertical="center"/>
    </xf>
    <xf numFmtId="164" fontId="55" fillId="13" borderId="35" xfId="4" applyNumberFormat="1" applyFont="1" applyFill="1" applyBorder="1" applyAlignment="1">
      <alignment horizontal="right" vertical="center"/>
    </xf>
    <xf numFmtId="3" fontId="35" fillId="13" borderId="35" xfId="4" applyNumberFormat="1" applyFont="1" applyFill="1" applyBorder="1" applyAlignment="1">
      <alignment horizontal="right" vertical="center"/>
    </xf>
    <xf numFmtId="3" fontId="35" fillId="13" borderId="10" xfId="4" applyNumberFormat="1" applyFont="1" applyFill="1" applyBorder="1" applyAlignment="1">
      <alignment horizontal="right" vertical="center"/>
    </xf>
    <xf numFmtId="3" fontId="35" fillId="25" borderId="10" xfId="4" applyNumberFormat="1" applyFont="1" applyFill="1" applyBorder="1" applyAlignment="1">
      <alignment horizontal="right" vertical="center"/>
    </xf>
    <xf numFmtId="3" fontId="49" fillId="13" borderId="43" xfId="4" applyNumberFormat="1" applyFont="1" applyFill="1" applyBorder="1" applyAlignment="1">
      <alignment horizontal="center" vertical="top"/>
    </xf>
    <xf numFmtId="0" fontId="56" fillId="6" borderId="34" xfId="4" applyFont="1" applyFill="1" applyBorder="1" applyAlignment="1">
      <alignment horizontal="left" vertical="center"/>
    </xf>
    <xf numFmtId="3" fontId="55" fillId="6" borderId="29" xfId="4" applyNumberFormat="1" applyFont="1" applyFill="1" applyBorder="1" applyAlignment="1">
      <alignment horizontal="right" vertical="center"/>
    </xf>
    <xf numFmtId="3" fontId="55" fillId="23" borderId="30" xfId="4" applyNumberFormat="1" applyFont="1" applyFill="1" applyBorder="1" applyAlignment="1">
      <alignment horizontal="right" vertical="center"/>
    </xf>
    <xf numFmtId="3" fontId="60" fillId="13" borderId="34" xfId="4" applyNumberFormat="1" applyFont="1" applyFill="1" applyBorder="1" applyAlignment="1">
      <alignment vertical="top" wrapText="1"/>
    </xf>
    <xf numFmtId="3" fontId="60" fillId="13" borderId="28" xfId="4" applyNumberFormat="1" applyFont="1" applyFill="1" applyBorder="1" applyAlignment="1">
      <alignment vertical="top" wrapText="1"/>
    </xf>
    <xf numFmtId="3" fontId="60" fillId="13" borderId="29" xfId="4" applyNumberFormat="1" applyFont="1" applyFill="1" applyBorder="1" applyAlignment="1">
      <alignment horizontal="right" vertical="center"/>
    </xf>
    <xf numFmtId="3" fontId="60" fillId="25" borderId="29" xfId="4" applyNumberFormat="1" applyFont="1" applyFill="1" applyBorder="1" applyAlignment="1">
      <alignment horizontal="right" vertical="center"/>
    </xf>
    <xf numFmtId="3" fontId="35" fillId="13" borderId="34" xfId="4" applyNumberFormat="1" applyFont="1" applyFill="1" applyBorder="1" applyAlignment="1">
      <alignment vertical="top" wrapText="1"/>
    </xf>
    <xf numFmtId="3" fontId="35" fillId="13" borderId="28" xfId="4" applyNumberFormat="1" applyFont="1" applyFill="1" applyBorder="1" applyAlignment="1">
      <alignment vertical="top" wrapText="1"/>
    </xf>
    <xf numFmtId="3" fontId="35" fillId="13" borderId="29" xfId="4" applyNumberFormat="1" applyFont="1" applyFill="1" applyBorder="1" applyAlignment="1">
      <alignment horizontal="right" vertical="center"/>
    </xf>
    <xf numFmtId="3" fontId="62" fillId="26" borderId="29" xfId="4" applyNumberFormat="1" applyFont="1" applyFill="1" applyBorder="1" applyAlignment="1">
      <alignment horizontal="right" vertical="center"/>
    </xf>
    <xf numFmtId="0" fontId="49" fillId="13" borderId="43" xfId="4" applyFont="1" applyFill="1" applyBorder="1" applyAlignment="1">
      <alignment horizontal="center" vertical="top"/>
    </xf>
    <xf numFmtId="0" fontId="35" fillId="13" borderId="34" xfId="4" applyFont="1" applyFill="1" applyBorder="1" applyAlignment="1">
      <alignment vertical="top"/>
    </xf>
    <xf numFmtId="0" fontId="35" fillId="13" borderId="28" xfId="4" applyFont="1" applyFill="1" applyBorder="1" applyAlignment="1">
      <alignment vertical="top"/>
    </xf>
    <xf numFmtId="0" fontId="60" fillId="13" borderId="34" xfId="4" applyFont="1" applyFill="1" applyBorder="1" applyAlignment="1">
      <alignment vertical="top"/>
    </xf>
    <xf numFmtId="0" fontId="60" fillId="13" borderId="28" xfId="4" applyFont="1" applyFill="1" applyBorder="1" applyAlignment="1">
      <alignment vertical="top"/>
    </xf>
    <xf numFmtId="3" fontId="60" fillId="25" borderId="30" xfId="4" applyNumberFormat="1" applyFont="1" applyFill="1" applyBorder="1" applyAlignment="1">
      <alignment horizontal="right" vertical="center"/>
    </xf>
    <xf numFmtId="3" fontId="63" fillId="13" borderId="29" xfId="6" applyNumberFormat="1" applyFont="1" applyFill="1" applyBorder="1" applyAlignment="1">
      <alignment vertical="center"/>
    </xf>
    <xf numFmtId="3" fontId="35" fillId="13" borderId="81" xfId="4" applyNumberFormat="1" applyFont="1" applyFill="1" applyBorder="1" applyAlignment="1">
      <alignment vertical="top" wrapText="1"/>
    </xf>
    <xf numFmtId="3" fontId="35" fillId="13" borderId="73" xfId="4" applyNumberFormat="1" applyFont="1" applyFill="1" applyBorder="1" applyAlignment="1">
      <alignment vertical="top" wrapText="1"/>
    </xf>
    <xf numFmtId="3" fontId="63" fillId="13" borderId="65" xfId="6" applyNumberFormat="1" applyFont="1" applyFill="1" applyBorder="1" applyAlignment="1">
      <alignment vertical="center"/>
    </xf>
    <xf numFmtId="3" fontId="55" fillId="25" borderId="30" xfId="4" applyNumberFormat="1" applyFont="1" applyFill="1" applyBorder="1" applyAlignment="1">
      <alignment horizontal="right" vertical="center"/>
    </xf>
    <xf numFmtId="3" fontId="58" fillId="13" borderId="34" xfId="4" applyNumberFormat="1" applyFont="1" applyFill="1" applyBorder="1" applyAlignment="1">
      <alignment vertical="top" wrapText="1"/>
    </xf>
    <xf numFmtId="3" fontId="58" fillId="13" borderId="20" xfId="4" applyNumberFormat="1" applyFont="1" applyFill="1" applyBorder="1" applyAlignment="1">
      <alignment vertical="top" wrapText="1"/>
    </xf>
    <xf numFmtId="3" fontId="64" fillId="13" borderId="9" xfId="6" applyNumberFormat="1" applyFont="1" applyFill="1" applyBorder="1" applyAlignment="1">
      <alignment vertical="center"/>
    </xf>
    <xf numFmtId="0" fontId="35" fillId="13" borderId="36" xfId="4" applyFont="1" applyFill="1" applyBorder="1" applyAlignment="1">
      <alignment horizontal="left" vertical="center"/>
    </xf>
    <xf numFmtId="0" fontId="35" fillId="13" borderId="20" xfId="4" applyFont="1" applyFill="1" applyBorder="1" applyAlignment="1">
      <alignment horizontal="left" vertical="center"/>
    </xf>
    <xf numFmtId="0" fontId="58" fillId="13" borderId="34" xfId="4" applyFont="1" applyFill="1" applyBorder="1" applyAlignment="1">
      <alignment vertical="top"/>
    </xf>
    <xf numFmtId="0" fontId="58" fillId="13" borderId="28" xfId="4" applyFont="1" applyFill="1" applyBorder="1" applyAlignment="1">
      <alignment vertical="top"/>
    </xf>
    <xf numFmtId="3" fontId="64" fillId="13" borderId="29" xfId="6" applyNumberFormat="1" applyFont="1" applyFill="1" applyBorder="1" applyAlignment="1">
      <alignment vertical="center"/>
    </xf>
    <xf numFmtId="0" fontId="35" fillId="13" borderId="77" xfId="4" applyFont="1" applyFill="1" applyBorder="1" applyAlignment="1">
      <alignment vertical="center"/>
    </xf>
    <xf numFmtId="0" fontId="35" fillId="13" borderId="37" xfId="4" applyFont="1" applyFill="1" applyBorder="1" applyAlignment="1">
      <alignment vertical="center"/>
    </xf>
    <xf numFmtId="3" fontId="63" fillId="13" borderId="72" xfId="6" applyNumberFormat="1" applyFont="1" applyFill="1" applyBorder="1" applyAlignment="1">
      <alignment vertical="center"/>
    </xf>
    <xf numFmtId="3" fontId="49" fillId="13" borderId="41" xfId="4" applyNumberFormat="1" applyFont="1" applyFill="1" applyBorder="1" applyAlignment="1">
      <alignment horizontal="center" vertical="top"/>
    </xf>
    <xf numFmtId="0" fontId="55" fillId="8" borderId="45" xfId="4" applyFont="1" applyFill="1" applyBorder="1" applyAlignment="1">
      <alignment vertical="top" wrapText="1"/>
    </xf>
    <xf numFmtId="0" fontId="55" fillId="8" borderId="14" xfId="4" applyFont="1" applyFill="1" applyBorder="1" applyAlignment="1">
      <alignment horizontal="center" vertical="top" wrapText="1"/>
    </xf>
    <xf numFmtId="3" fontId="55" fillId="8" borderId="4" xfId="4" applyNumberFormat="1" applyFont="1" applyFill="1" applyBorder="1" applyAlignment="1"/>
    <xf numFmtId="3" fontId="55" fillId="8" borderId="70" xfId="4" applyNumberFormat="1" applyFont="1" applyFill="1" applyBorder="1" applyAlignment="1">
      <alignment horizontal="right" vertical="center"/>
    </xf>
    <xf numFmtId="3" fontId="55" fillId="8" borderId="17" xfId="4" applyNumberFormat="1" applyFont="1" applyFill="1" applyBorder="1" applyAlignment="1">
      <alignment horizontal="right" vertical="center"/>
    </xf>
    <xf numFmtId="3" fontId="55" fillId="8" borderId="2" xfId="4" applyNumberFormat="1" applyFont="1" applyFill="1" applyBorder="1" applyAlignment="1">
      <alignment horizontal="right" vertical="center"/>
    </xf>
    <xf numFmtId="3" fontId="55" fillId="24" borderId="2" xfId="4" applyNumberFormat="1" applyFont="1" applyFill="1" applyBorder="1" applyAlignment="1">
      <alignment horizontal="right" vertical="center"/>
    </xf>
    <xf numFmtId="0" fontId="51" fillId="0" borderId="42" xfId="4" applyFont="1" applyFill="1" applyBorder="1" applyAlignment="1">
      <alignment horizontal="center" vertical="center" wrapText="1"/>
    </xf>
    <xf numFmtId="3" fontId="56" fillId="6" borderId="29" xfId="4" applyNumberFormat="1" applyFont="1" applyFill="1" applyBorder="1" applyAlignment="1"/>
    <xf numFmtId="3" fontId="56" fillId="6" borderId="30" xfId="4" applyNumberFormat="1" applyFont="1" applyFill="1" applyBorder="1" applyAlignment="1"/>
    <xf numFmtId="3" fontId="55" fillId="6" borderId="30" xfId="4" applyNumberFormat="1" applyFont="1" applyFill="1" applyBorder="1" applyAlignment="1"/>
    <xf numFmtId="3" fontId="55" fillId="23" borderId="30" xfId="4" applyNumberFormat="1" applyFont="1" applyFill="1" applyBorder="1" applyAlignment="1"/>
    <xf numFmtId="3" fontId="58" fillId="2" borderId="34" xfId="4" applyNumberFormat="1" applyFont="1" applyFill="1" applyBorder="1" applyAlignment="1">
      <alignment vertical="top" wrapText="1"/>
    </xf>
    <xf numFmtId="3" fontId="58" fillId="0" borderId="29" xfId="4" applyNumberFormat="1" applyFont="1" applyFill="1" applyBorder="1" applyAlignment="1"/>
    <xf numFmtId="3" fontId="58" fillId="26" borderId="29" xfId="4" applyNumberFormat="1" applyFont="1" applyFill="1" applyBorder="1" applyAlignment="1"/>
    <xf numFmtId="0" fontId="62" fillId="0" borderId="34" xfId="4" applyFont="1" applyFill="1" applyBorder="1" applyAlignment="1">
      <alignment vertical="top"/>
    </xf>
    <xf numFmtId="3" fontId="62" fillId="0" borderId="65" xfId="4" applyNumberFormat="1" applyFont="1" applyFill="1" applyBorder="1" applyAlignment="1"/>
    <xf numFmtId="3" fontId="62" fillId="0" borderId="29" xfId="4" applyNumberFormat="1" applyFont="1" applyFill="1" applyBorder="1" applyAlignment="1"/>
    <xf numFmtId="3" fontId="35" fillId="0" borderId="29" xfId="4" applyNumberFormat="1" applyFont="1" applyFill="1" applyBorder="1" applyAlignment="1"/>
    <xf numFmtId="3" fontId="62" fillId="26" borderId="30" xfId="4" applyNumberFormat="1" applyFont="1" applyFill="1" applyBorder="1" applyAlignment="1">
      <alignment horizontal="right" vertical="center"/>
    </xf>
    <xf numFmtId="3" fontId="63" fillId="0" borderId="65" xfId="6" applyNumberFormat="1" applyFont="1" applyFill="1" applyBorder="1" applyAlignment="1">
      <alignment vertical="center"/>
    </xf>
    <xf numFmtId="3" fontId="35" fillId="0" borderId="63" xfId="4" applyNumberFormat="1" applyFont="1" applyFill="1" applyBorder="1" applyAlignment="1">
      <alignment horizontal="right" vertical="center"/>
    </xf>
    <xf numFmtId="3" fontId="64" fillId="0" borderId="65" xfId="6" applyNumberFormat="1" applyFont="1" applyFill="1" applyBorder="1" applyAlignment="1">
      <alignment vertical="center"/>
    </xf>
    <xf numFmtId="3" fontId="35" fillId="0" borderId="30" xfId="4" applyNumberFormat="1" applyFont="1" applyFill="1" applyBorder="1" applyAlignment="1">
      <alignment horizontal="right" vertical="center"/>
    </xf>
    <xf numFmtId="3" fontId="35" fillId="0" borderId="29" xfId="4" applyNumberFormat="1" applyFont="1" applyFill="1" applyBorder="1" applyAlignment="1">
      <alignment horizontal="right" vertical="center"/>
    </xf>
    <xf numFmtId="0" fontId="58" fillId="2" borderId="34" xfId="4" applyFont="1" applyFill="1" applyBorder="1" applyAlignment="1">
      <alignment vertical="top"/>
    </xf>
    <xf numFmtId="3" fontId="64" fillId="0" borderId="29" xfId="6" applyNumberFormat="1" applyFont="1" applyFill="1" applyBorder="1" applyAlignment="1">
      <alignment vertical="center"/>
    </xf>
    <xf numFmtId="3" fontId="64" fillId="0" borderId="30" xfId="6" applyNumberFormat="1" applyFont="1" applyFill="1" applyBorder="1" applyAlignment="1">
      <alignment vertical="center"/>
    </xf>
    <xf numFmtId="3" fontId="64" fillId="26" borderId="30" xfId="6" applyNumberFormat="1" applyFont="1" applyFill="1" applyBorder="1" applyAlignment="1">
      <alignment vertical="center"/>
    </xf>
    <xf numFmtId="3" fontId="35" fillId="0" borderId="65" xfId="4" applyNumberFormat="1" applyFont="1" applyFill="1" applyBorder="1" applyAlignment="1">
      <alignment horizontal="right" vertical="center"/>
    </xf>
    <xf numFmtId="0" fontId="62" fillId="0" borderId="81" xfId="4" applyFont="1" applyFill="1" applyBorder="1" applyAlignment="1">
      <alignment vertical="top"/>
    </xf>
    <xf numFmtId="3" fontId="55" fillId="6" borderId="29" xfId="4" applyNumberFormat="1" applyFont="1" applyFill="1" applyBorder="1" applyAlignment="1"/>
    <xf numFmtId="3" fontId="64" fillId="0" borderId="9" xfId="6" applyNumberFormat="1" applyFont="1" applyFill="1" applyBorder="1" applyAlignment="1">
      <alignment vertical="center"/>
    </xf>
    <xf numFmtId="3" fontId="63" fillId="0" borderId="29" xfId="6" applyNumberFormat="1" applyFont="1" applyFill="1" applyBorder="1" applyAlignment="1">
      <alignment vertical="center"/>
    </xf>
    <xf numFmtId="3" fontId="63" fillId="0" borderId="30" xfId="6" applyNumberFormat="1" applyFont="1" applyFill="1" applyBorder="1" applyAlignment="1">
      <alignment vertical="center"/>
    </xf>
    <xf numFmtId="0" fontId="62" fillId="0" borderId="83" xfId="4" applyFont="1" applyFill="1" applyBorder="1" applyAlignment="1">
      <alignment vertical="center"/>
    </xf>
    <xf numFmtId="3" fontId="63" fillId="0" borderId="23" xfId="6" applyNumberFormat="1" applyFont="1" applyFill="1" applyBorder="1" applyAlignment="1">
      <alignment vertical="center"/>
    </xf>
    <xf numFmtId="3" fontId="35" fillId="0" borderId="12" xfId="4" applyNumberFormat="1" applyFont="1" applyFill="1" applyBorder="1" applyAlignment="1">
      <alignment horizontal="right" vertical="center"/>
    </xf>
    <xf numFmtId="3" fontId="35" fillId="0" borderId="23" xfId="4" applyNumberFormat="1" applyFont="1" applyFill="1" applyBorder="1" applyAlignment="1">
      <alignment horizontal="right" vertical="center"/>
    </xf>
    <xf numFmtId="3" fontId="35" fillId="0" borderId="74" xfId="4" applyNumberFormat="1" applyFont="1" applyFill="1" applyBorder="1" applyAlignment="1">
      <alignment horizontal="right" vertical="center"/>
    </xf>
    <xf numFmtId="0" fontId="55" fillId="8" borderId="14" xfId="4" applyFont="1" applyFill="1" applyBorder="1" applyAlignment="1">
      <alignment horizontal="center" vertical="center" wrapText="1"/>
    </xf>
    <xf numFmtId="3" fontId="35" fillId="8" borderId="4" xfId="4" applyNumberFormat="1" applyFont="1" applyFill="1" applyBorder="1" applyAlignment="1">
      <alignment horizontal="right" vertical="center"/>
    </xf>
    <xf numFmtId="3" fontId="35" fillId="8" borderId="17" xfId="4" applyNumberFormat="1" applyFont="1" applyFill="1" applyBorder="1" applyAlignment="1">
      <alignment horizontal="right" vertical="center"/>
    </xf>
    <xf numFmtId="3" fontId="35" fillId="8" borderId="70" xfId="4" applyNumberFormat="1" applyFont="1" applyFill="1" applyBorder="1" applyAlignment="1">
      <alignment horizontal="right" vertical="center"/>
    </xf>
    <xf numFmtId="3" fontId="55" fillId="24" borderId="3" xfId="4" applyNumberFormat="1" applyFont="1" applyFill="1" applyBorder="1" applyAlignment="1">
      <alignment horizontal="right" vertical="center"/>
    </xf>
    <xf numFmtId="3" fontId="56" fillId="6" borderId="29" xfId="4" applyNumberFormat="1" applyFont="1" applyFill="1" applyBorder="1" applyAlignment="1">
      <alignment horizontal="right" vertical="center"/>
    </xf>
    <xf numFmtId="3" fontId="56" fillId="6" borderId="30" xfId="4" applyNumberFormat="1" applyFont="1" applyFill="1" applyBorder="1" applyAlignment="1">
      <alignment horizontal="right" vertical="center"/>
    </xf>
    <xf numFmtId="3" fontId="56" fillId="23" borderId="30" xfId="4" applyNumberFormat="1" applyFont="1" applyFill="1" applyBorder="1" applyAlignment="1">
      <alignment horizontal="right" vertical="center"/>
    </xf>
    <xf numFmtId="3" fontId="58" fillId="0" borderId="29" xfId="4" applyNumberFormat="1" applyFont="1" applyFill="1" applyBorder="1" applyAlignment="1">
      <alignment horizontal="right" vertical="center"/>
    </xf>
    <xf numFmtId="3" fontId="58" fillId="26" borderId="30" xfId="4" applyNumberFormat="1" applyFont="1" applyFill="1" applyBorder="1" applyAlignment="1">
      <alignment horizontal="right" vertical="center"/>
    </xf>
    <xf numFmtId="3" fontId="58" fillId="26" borderId="0" xfId="4" applyNumberFormat="1" applyFont="1" applyFill="1" applyBorder="1" applyAlignment="1">
      <alignment horizontal="right" vertical="center"/>
    </xf>
    <xf numFmtId="0" fontId="35" fillId="0" borderId="34" xfId="4" applyFont="1" applyFill="1" applyBorder="1" applyAlignment="1">
      <alignment vertical="top"/>
    </xf>
    <xf numFmtId="3" fontId="62" fillId="0" borderId="65" xfId="4" applyNumberFormat="1" applyFont="1" applyFill="1" applyBorder="1" applyAlignment="1">
      <alignment horizontal="right" vertical="center"/>
    </xf>
    <xf numFmtId="3" fontId="62" fillId="26" borderId="0" xfId="4" applyNumberFormat="1" applyFont="1" applyFill="1" applyBorder="1" applyAlignment="1">
      <alignment horizontal="right" vertical="center"/>
    </xf>
    <xf numFmtId="3" fontId="62" fillId="0" borderId="63" xfId="4" applyNumberFormat="1" applyFont="1" applyFill="1" applyBorder="1" applyAlignment="1">
      <alignment horizontal="right" vertical="center"/>
    </xf>
    <xf numFmtId="3" fontId="64" fillId="26" borderId="0" xfId="6" applyNumberFormat="1" applyFont="1" applyFill="1" applyBorder="1" applyAlignment="1">
      <alignment vertical="center"/>
    </xf>
    <xf numFmtId="0" fontId="35" fillId="0" borderId="81" xfId="4" applyFont="1" applyFill="1" applyBorder="1" applyAlignment="1">
      <alignment vertical="top"/>
    </xf>
    <xf numFmtId="0" fontId="35" fillId="0" borderId="83" xfId="4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horizontal="right" vertical="center"/>
    </xf>
    <xf numFmtId="3" fontId="35" fillId="0" borderId="72" xfId="4" applyNumberFormat="1" applyFont="1" applyFill="1" applyBorder="1" applyAlignment="1">
      <alignment horizontal="right" vertical="center"/>
    </xf>
    <xf numFmtId="0" fontId="55" fillId="8" borderId="45" xfId="4" applyFont="1" applyFill="1" applyBorder="1" applyAlignment="1">
      <alignment vertical="center" wrapText="1"/>
    </xf>
    <xf numFmtId="3" fontId="62" fillId="0" borderId="30" xfId="4" applyNumberFormat="1" applyFont="1" applyFill="1" applyBorder="1" applyAlignment="1">
      <alignment horizontal="right" vertical="center"/>
    </xf>
    <xf numFmtId="0" fontId="35" fillId="0" borderId="77" xfId="4" applyFont="1" applyFill="1" applyBorder="1" applyAlignment="1">
      <alignment vertical="center"/>
    </xf>
    <xf numFmtId="3" fontId="63" fillId="0" borderId="12" xfId="6" applyNumberFormat="1" applyFont="1" applyFill="1" applyBorder="1" applyAlignment="1">
      <alignment vertical="center"/>
    </xf>
    <xf numFmtId="3" fontId="62" fillId="0" borderId="47" xfId="4" applyNumberFormat="1" applyFont="1" applyFill="1" applyBorder="1" applyAlignment="1">
      <alignment horizontal="right" vertical="center"/>
    </xf>
    <xf numFmtId="3" fontId="35" fillId="8" borderId="18" xfId="4" applyNumberFormat="1" applyFont="1" applyFill="1" applyBorder="1" applyAlignment="1">
      <alignment horizontal="right" vertical="center"/>
    </xf>
    <xf numFmtId="0" fontId="55" fillId="6" borderId="34" xfId="4" applyFont="1" applyFill="1" applyBorder="1" applyAlignment="1">
      <alignment horizontal="left" vertical="center"/>
    </xf>
    <xf numFmtId="3" fontId="60" fillId="2" borderId="34" xfId="4" applyNumberFormat="1" applyFont="1" applyFill="1" applyBorder="1" applyAlignment="1">
      <alignment vertical="top" wrapText="1"/>
    </xf>
    <xf numFmtId="3" fontId="58" fillId="0" borderId="27" xfId="4" applyNumberFormat="1" applyFont="1" applyFill="1" applyBorder="1" applyAlignment="1">
      <alignment horizontal="right" vertical="center"/>
    </xf>
    <xf numFmtId="3" fontId="58" fillId="26" borderId="29" xfId="4" applyNumberFormat="1" applyFont="1" applyFill="1" applyBorder="1" applyAlignment="1">
      <alignment horizontal="right" vertical="center"/>
    </xf>
    <xf numFmtId="0" fontId="35" fillId="0" borderId="32" xfId="4" applyFont="1" applyFill="1" applyBorder="1" applyAlignment="1">
      <alignment vertical="top"/>
    </xf>
    <xf numFmtId="0" fontId="60" fillId="2" borderId="32" xfId="4" applyFont="1" applyFill="1" applyBorder="1" applyAlignment="1">
      <alignment vertical="top"/>
    </xf>
    <xf numFmtId="0" fontId="55" fillId="6" borderId="32" xfId="4" applyFont="1" applyFill="1" applyBorder="1" applyAlignment="1">
      <alignment horizontal="left" vertical="center"/>
    </xf>
    <xf numFmtId="3" fontId="35" fillId="0" borderId="30" xfId="4" applyNumberFormat="1" applyFont="1" applyFill="1" applyBorder="1" applyAlignment="1">
      <alignment horizontal="right"/>
    </xf>
    <xf numFmtId="3" fontId="62" fillId="0" borderId="30" xfId="4" applyNumberFormat="1" applyFont="1" applyFill="1" applyBorder="1" applyAlignment="1">
      <alignment horizontal="right"/>
    </xf>
    <xf numFmtId="3" fontId="35" fillId="0" borderId="71" xfId="4" applyNumberFormat="1" applyFont="1" applyFill="1" applyBorder="1" applyAlignment="1">
      <alignment horizontal="right"/>
    </xf>
    <xf numFmtId="3" fontId="35" fillId="0" borderId="29" xfId="4" applyNumberFormat="1" applyFont="1" applyFill="1" applyBorder="1" applyAlignment="1">
      <alignment horizontal="right"/>
    </xf>
    <xf numFmtId="3" fontId="62" fillId="0" borderId="29" xfId="4" applyNumberFormat="1" applyFont="1" applyFill="1" applyBorder="1" applyAlignment="1">
      <alignment horizontal="right"/>
    </xf>
    <xf numFmtId="3" fontId="58" fillId="2" borderId="29" xfId="4" applyNumberFormat="1" applyFont="1" applyFill="1" applyBorder="1" applyAlignment="1"/>
    <xf numFmtId="0" fontId="35" fillId="0" borderId="77" xfId="4" applyFont="1" applyFill="1" applyBorder="1" applyAlignment="1">
      <alignment vertical="top"/>
    </xf>
    <xf numFmtId="3" fontId="35" fillId="0" borderId="12" xfId="4" applyNumberFormat="1" applyFont="1" applyFill="1" applyBorder="1" applyAlignment="1">
      <alignment horizontal="right"/>
    </xf>
    <xf numFmtId="3" fontId="62" fillId="0" borderId="12" xfId="4" applyNumberFormat="1" applyFont="1" applyFill="1" applyBorder="1" applyAlignment="1">
      <alignment horizontal="right"/>
    </xf>
    <xf numFmtId="3" fontId="35" fillId="0" borderId="74" xfId="4" applyNumberFormat="1" applyFont="1" applyFill="1" applyBorder="1" applyAlignment="1">
      <alignment horizontal="right"/>
    </xf>
    <xf numFmtId="3" fontId="35" fillId="26" borderId="12" xfId="4" applyNumberFormat="1" applyFont="1" applyFill="1" applyBorder="1" applyAlignment="1">
      <alignment horizontal="right"/>
    </xf>
    <xf numFmtId="0" fontId="56" fillId="6" borderId="21" xfId="4" applyFont="1" applyFill="1" applyBorder="1" applyAlignment="1">
      <alignment horizontal="left" vertical="center"/>
    </xf>
    <xf numFmtId="0" fontId="58" fillId="2" borderId="32" xfId="4" applyFont="1" applyFill="1" applyBorder="1" applyAlignment="1">
      <alignment vertical="top"/>
    </xf>
    <xf numFmtId="3" fontId="58" fillId="2" borderId="30" xfId="4" applyNumberFormat="1" applyFont="1" applyFill="1" applyBorder="1" applyAlignment="1"/>
    <xf numFmtId="3" fontId="58" fillId="27" borderId="0" xfId="4" applyNumberFormat="1" applyFont="1" applyFill="1" applyBorder="1" applyAlignment="1"/>
    <xf numFmtId="0" fontId="35" fillId="0" borderId="25" xfId="4" applyFont="1" applyFill="1" applyBorder="1" applyAlignment="1">
      <alignment vertical="top"/>
    </xf>
    <xf numFmtId="3" fontId="35" fillId="8" borderId="9" xfId="4" applyNumberFormat="1" applyFont="1" applyFill="1" applyBorder="1" applyAlignment="1">
      <alignment horizontal="right" vertical="center"/>
    </xf>
    <xf numFmtId="3" fontId="35" fillId="8" borderId="35" xfId="4" applyNumberFormat="1" applyFont="1" applyFill="1" applyBorder="1" applyAlignment="1">
      <alignment horizontal="right" vertical="center"/>
    </xf>
    <xf numFmtId="3" fontId="55" fillId="8" borderId="35" xfId="4" applyNumberFormat="1" applyFont="1" applyFill="1" applyBorder="1" applyAlignment="1">
      <alignment horizontal="right" vertical="center"/>
    </xf>
    <xf numFmtId="3" fontId="55" fillId="8" borderId="10" xfId="4" applyNumberFormat="1" applyFont="1" applyFill="1" applyBorder="1" applyAlignment="1">
      <alignment horizontal="right" vertical="center"/>
    </xf>
    <xf numFmtId="3" fontId="58" fillId="2" borderId="32" xfId="4" applyNumberFormat="1" applyFont="1" applyFill="1" applyBorder="1" applyAlignment="1">
      <alignment vertical="top" wrapText="1"/>
    </xf>
    <xf numFmtId="0" fontId="62" fillId="0" borderId="32" xfId="4" applyFont="1" applyFill="1" applyBorder="1" applyAlignment="1">
      <alignment vertical="top"/>
    </xf>
    <xf numFmtId="3" fontId="60" fillId="2" borderId="32" xfId="4" applyNumberFormat="1" applyFont="1" applyFill="1" applyBorder="1" applyAlignment="1">
      <alignment vertical="top" wrapText="1"/>
    </xf>
    <xf numFmtId="3" fontId="62" fillId="2" borderId="29" xfId="4" applyNumberFormat="1" applyFont="1" applyFill="1" applyBorder="1" applyAlignment="1">
      <alignment horizontal="right" vertical="center"/>
    </xf>
    <xf numFmtId="3" fontId="62" fillId="0" borderId="29" xfId="4" applyNumberFormat="1" applyFont="1" applyFill="1" applyBorder="1" applyAlignment="1">
      <alignment horizontal="right" vertical="center"/>
    </xf>
    <xf numFmtId="3" fontId="64" fillId="2" borderId="29" xfId="6" applyNumberFormat="1" applyFont="1" applyFill="1" applyBorder="1" applyAlignment="1">
      <alignment vertical="center"/>
    </xf>
    <xf numFmtId="3" fontId="62" fillId="2" borderId="30" xfId="4" applyNumberFormat="1" applyFont="1" applyFill="1" applyBorder="1" applyAlignment="1">
      <alignment horizontal="right" vertical="center"/>
    </xf>
    <xf numFmtId="3" fontId="63" fillId="0" borderId="72" xfId="6" applyNumberFormat="1" applyFont="1" applyFill="1" applyBorder="1" applyAlignment="1">
      <alignment vertical="center"/>
    </xf>
    <xf numFmtId="3" fontId="63" fillId="0" borderId="47" xfId="6" applyNumberFormat="1" applyFont="1" applyFill="1" applyBorder="1" applyAlignment="1">
      <alignment vertical="center"/>
    </xf>
    <xf numFmtId="0" fontId="49" fillId="0" borderId="42" xfId="4" applyFont="1" applyFill="1" applyBorder="1" applyAlignment="1">
      <alignment vertical="center" wrapText="1"/>
    </xf>
    <xf numFmtId="3" fontId="60" fillId="2" borderId="29" xfId="4" applyNumberFormat="1" applyFont="1" applyFill="1" applyBorder="1" applyAlignment="1"/>
    <xf numFmtId="0" fontId="35" fillId="0" borderId="31" xfId="4" applyFont="1" applyFill="1" applyBorder="1" applyAlignment="1">
      <alignment vertical="top"/>
    </xf>
    <xf numFmtId="0" fontId="56" fillId="6" borderId="20" xfId="4" applyFont="1" applyFill="1" applyBorder="1" applyAlignment="1">
      <alignment horizontal="left" vertical="center"/>
    </xf>
    <xf numFmtId="3" fontId="55" fillId="6" borderId="9" xfId="4" applyNumberFormat="1" applyFont="1" applyFill="1" applyBorder="1" applyAlignment="1"/>
    <xf numFmtId="0" fontId="60" fillId="2" borderId="34" xfId="4" applyFont="1" applyFill="1" applyBorder="1" applyAlignment="1">
      <alignment vertical="top"/>
    </xf>
    <xf numFmtId="3" fontId="56" fillId="23" borderId="10" xfId="4" applyNumberFormat="1" applyFont="1" applyFill="1" applyBorder="1" applyAlignment="1">
      <alignment horizontal="right" vertical="center"/>
    </xf>
    <xf numFmtId="0" fontId="35" fillId="0" borderId="36" xfId="4" applyFont="1" applyFill="1" applyBorder="1" applyAlignment="1">
      <alignment horizontal="left" vertical="center"/>
    </xf>
    <xf numFmtId="0" fontId="56" fillId="6" borderId="36" xfId="4" applyFont="1" applyFill="1" applyBorder="1" applyAlignment="1">
      <alignment horizontal="left" vertical="center"/>
    </xf>
    <xf numFmtId="3" fontId="55" fillId="27" borderId="10" xfId="4" applyNumberFormat="1" applyFont="1" applyFill="1" applyBorder="1" applyAlignment="1"/>
    <xf numFmtId="3" fontId="63" fillId="26" borderId="10" xfId="6" applyNumberFormat="1" applyFont="1" applyFill="1" applyBorder="1" applyAlignment="1">
      <alignment vertical="center"/>
    </xf>
    <xf numFmtId="3" fontId="56" fillId="8" borderId="70" xfId="4" applyNumberFormat="1" applyFont="1" applyFill="1" applyBorder="1" applyAlignment="1">
      <alignment horizontal="right" vertical="center"/>
    </xf>
    <xf numFmtId="3" fontId="56" fillId="8" borderId="17" xfId="4" applyNumberFormat="1" applyFont="1" applyFill="1" applyBorder="1" applyAlignment="1">
      <alignment horizontal="right" vertical="center"/>
    </xf>
    <xf numFmtId="3" fontId="56" fillId="8" borderId="2" xfId="4" applyNumberFormat="1" applyFont="1" applyFill="1" applyBorder="1" applyAlignment="1">
      <alignment horizontal="right" vertical="center"/>
    </xf>
    <xf numFmtId="3" fontId="55" fillId="24" borderId="10" xfId="4" applyNumberFormat="1" applyFont="1" applyFill="1" applyBorder="1" applyAlignment="1">
      <alignment horizontal="right" vertical="center"/>
    </xf>
    <xf numFmtId="3" fontId="63" fillId="0" borderId="10" xfId="6" applyNumberFormat="1" applyFont="1" applyFill="1" applyBorder="1" applyAlignment="1">
      <alignment vertical="center"/>
    </xf>
    <xf numFmtId="3" fontId="58" fillId="0" borderId="30" xfId="4" applyNumberFormat="1" applyFont="1" applyFill="1" applyBorder="1" applyAlignment="1">
      <alignment horizontal="right" vertical="center"/>
    </xf>
    <xf numFmtId="3" fontId="60" fillId="0" borderId="30" xfId="4" applyNumberFormat="1" applyFont="1" applyFill="1" applyBorder="1" applyAlignment="1">
      <alignment horizontal="right" vertical="center"/>
    </xf>
    <xf numFmtId="3" fontId="58" fillId="2" borderId="34" xfId="4" applyNumberFormat="1" applyFont="1" applyFill="1" applyBorder="1" applyAlignment="1">
      <alignment vertical="center" wrapText="1"/>
    </xf>
    <xf numFmtId="3" fontId="58" fillId="2" borderId="27" xfId="4" applyNumberFormat="1" applyFont="1" applyFill="1" applyBorder="1" applyAlignment="1">
      <alignment horizontal="right" vertical="center"/>
    </xf>
    <xf numFmtId="3" fontId="35" fillId="0" borderId="72" xfId="4" applyNumberFormat="1" applyFont="1" applyFill="1" applyBorder="1" applyAlignment="1">
      <alignment horizontal="right"/>
    </xf>
    <xf numFmtId="3" fontId="35" fillId="0" borderId="47" xfId="4" applyNumberFormat="1" applyFont="1" applyFill="1" applyBorder="1" applyAlignment="1">
      <alignment horizontal="right"/>
    </xf>
    <xf numFmtId="3" fontId="62" fillId="0" borderId="47" xfId="4" applyNumberFormat="1" applyFont="1" applyFill="1" applyBorder="1" applyAlignment="1">
      <alignment horizontal="right"/>
    </xf>
    <xf numFmtId="3" fontId="55" fillId="8" borderId="4" xfId="4" applyNumberFormat="1" applyFont="1" applyFill="1" applyBorder="1" applyAlignment="1">
      <alignment horizontal="right" vertical="center"/>
    </xf>
    <xf numFmtId="3" fontId="55" fillId="8" borderId="15" xfId="4" applyNumberFormat="1" applyFont="1" applyFill="1" applyBorder="1" applyAlignment="1">
      <alignment horizontal="right" vertical="center"/>
    </xf>
    <xf numFmtId="3" fontId="58" fillId="0" borderId="9" xfId="4" applyNumberFormat="1" applyFont="1" applyFill="1" applyBorder="1" applyAlignment="1"/>
    <xf numFmtId="0" fontId="35" fillId="0" borderId="33" xfId="4" applyFont="1" applyFill="1" applyBorder="1" applyAlignment="1">
      <alignment vertical="top"/>
    </xf>
    <xf numFmtId="3" fontId="35" fillId="26" borderId="74" xfId="4" applyNumberFormat="1" applyFont="1" applyFill="1" applyBorder="1" applyAlignment="1">
      <alignment horizontal="right"/>
    </xf>
    <xf numFmtId="3" fontId="35" fillId="8" borderId="15" xfId="4" applyNumberFormat="1" applyFont="1" applyFill="1" applyBorder="1" applyAlignment="1">
      <alignment horizontal="right" vertical="center"/>
    </xf>
    <xf numFmtId="3" fontId="58" fillId="0" borderId="63" xfId="4" applyNumberFormat="1" applyFont="1" applyFill="1" applyBorder="1" applyAlignment="1">
      <alignment horizontal="right" vertical="center"/>
    </xf>
    <xf numFmtId="3" fontId="62" fillId="2" borderId="47" xfId="4" applyNumberFormat="1" applyFont="1" applyFill="1" applyBorder="1" applyAlignment="1"/>
    <xf numFmtId="3" fontId="62" fillId="2" borderId="72" xfId="4" applyNumberFormat="1" applyFont="1" applyFill="1" applyBorder="1" applyAlignment="1"/>
    <xf numFmtId="3" fontId="35" fillId="2" borderId="47" xfId="4" applyNumberFormat="1" applyFont="1" applyFill="1" applyBorder="1" applyAlignment="1"/>
    <xf numFmtId="3" fontId="62" fillId="2" borderId="74" xfId="4" applyNumberFormat="1" applyFont="1" applyFill="1" applyBorder="1" applyAlignment="1"/>
    <xf numFmtId="3" fontId="56" fillId="8" borderId="15" xfId="4" applyNumberFormat="1" applyFont="1" applyFill="1" applyBorder="1" applyAlignment="1">
      <alignment horizontal="right" vertical="center"/>
    </xf>
    <xf numFmtId="3" fontId="58" fillId="0" borderId="65" xfId="4" applyNumberFormat="1" applyFont="1" applyFill="1" applyBorder="1" applyAlignment="1">
      <alignment horizontal="right" vertical="center"/>
    </xf>
    <xf numFmtId="3" fontId="55" fillId="6" borderId="9" xfId="4" applyNumberFormat="1" applyFont="1" applyFill="1" applyBorder="1" applyAlignment="1">
      <alignment vertical="center"/>
    </xf>
    <xf numFmtId="3" fontId="56" fillId="8" borderId="4" xfId="4" applyNumberFormat="1" applyFont="1" applyFill="1" applyBorder="1" applyAlignment="1"/>
    <xf numFmtId="0" fontId="62" fillId="0" borderId="83" xfId="4" applyFont="1" applyFill="1" applyBorder="1" applyAlignment="1">
      <alignment vertical="top"/>
    </xf>
    <xf numFmtId="3" fontId="58" fillId="2" borderId="47" xfId="4" applyNumberFormat="1" applyFont="1" applyFill="1" applyBorder="1" applyAlignment="1"/>
    <xf numFmtId="0" fontId="35" fillId="0" borderId="83" xfId="4" applyFont="1" applyFill="1" applyBorder="1" applyAlignment="1">
      <alignment vertical="top"/>
    </xf>
    <xf numFmtId="3" fontId="55" fillId="8" borderId="4" xfId="0" applyNumberFormat="1" applyFont="1" applyFill="1" applyBorder="1" applyAlignment="1">
      <alignment vertical="center"/>
    </xf>
    <xf numFmtId="3" fontId="55" fillId="8" borderId="70" xfId="0" applyNumberFormat="1" applyFont="1" applyFill="1" applyBorder="1" applyAlignment="1">
      <alignment vertical="center"/>
    </xf>
    <xf numFmtId="3" fontId="55" fillId="8" borderId="15" xfId="0" applyNumberFormat="1" applyFont="1" applyFill="1" applyBorder="1" applyAlignment="1">
      <alignment vertical="center"/>
    </xf>
    <xf numFmtId="3" fontId="55" fillId="6" borderId="30" xfId="0" applyNumberFormat="1" applyFont="1" applyFill="1" applyBorder="1" applyAlignment="1">
      <alignment horizontal="right" vertical="center"/>
    </xf>
    <xf numFmtId="3" fontId="58" fillId="0" borderId="30" xfId="0" applyNumberFormat="1" applyFont="1" applyFill="1" applyBorder="1" applyAlignment="1">
      <alignment horizontal="right" vertical="center"/>
    </xf>
    <xf numFmtId="3" fontId="60" fillId="0" borderId="30" xfId="0" applyNumberFormat="1" applyFont="1" applyFill="1" applyBorder="1" applyAlignment="1">
      <alignment horizontal="right" vertical="center"/>
    </xf>
    <xf numFmtId="3" fontId="58" fillId="0" borderId="35" xfId="0" applyNumberFormat="1" applyFont="1" applyFill="1" applyBorder="1" applyAlignment="1">
      <alignment horizontal="right" vertical="center"/>
    </xf>
    <xf numFmtId="3" fontId="58" fillId="0" borderId="29" xfId="0" applyNumberFormat="1" applyFont="1" applyFill="1" applyBorder="1" applyAlignment="1">
      <alignment horizontal="right" vertical="center"/>
    </xf>
    <xf numFmtId="3" fontId="60" fillId="26" borderId="29" xfId="4" applyNumberFormat="1" applyFont="1" applyFill="1" applyBorder="1" applyAlignment="1">
      <alignment horizontal="right" vertical="center"/>
    </xf>
    <xf numFmtId="3" fontId="58" fillId="0" borderId="13" xfId="0" applyNumberFormat="1" applyFont="1" applyFill="1" applyBorder="1" applyAlignment="1">
      <alignment horizontal="right" vertical="center"/>
    </xf>
    <xf numFmtId="3" fontId="58" fillId="0" borderId="27" xfId="0" applyNumberFormat="1" applyFont="1" applyFill="1" applyBorder="1" applyAlignment="1">
      <alignment horizontal="right" vertical="center"/>
    </xf>
    <xf numFmtId="3" fontId="60" fillId="0" borderId="13" xfId="0" applyNumberFormat="1" applyFont="1" applyFill="1" applyBorder="1" applyAlignment="1">
      <alignment horizontal="right" vertical="center"/>
    </xf>
    <xf numFmtId="3" fontId="35" fillId="0" borderId="35" xfId="0" applyNumberFormat="1" applyFont="1" applyFill="1" applyBorder="1" applyAlignment="1">
      <alignment horizontal="right" vertical="center"/>
    </xf>
    <xf numFmtId="3" fontId="35" fillId="0" borderId="13" xfId="0" applyNumberFormat="1" applyFont="1" applyFill="1" applyBorder="1" applyAlignment="1">
      <alignment horizontal="right" vertical="center"/>
    </xf>
    <xf numFmtId="3" fontId="62" fillId="0" borderId="27" xfId="0" applyNumberFormat="1" applyFont="1" applyFill="1" applyBorder="1" applyAlignment="1">
      <alignment horizontal="right" vertical="center"/>
    </xf>
    <xf numFmtId="3" fontId="60" fillId="0" borderId="35" xfId="0" applyNumberFormat="1" applyFont="1" applyFill="1" applyBorder="1" applyAlignment="1">
      <alignment horizontal="right" vertical="center"/>
    </xf>
    <xf numFmtId="3" fontId="62" fillId="0" borderId="12" xfId="0" applyNumberFormat="1" applyFont="1" applyFill="1" applyBorder="1" applyAlignment="1">
      <alignment horizontal="right" vertical="center"/>
    </xf>
    <xf numFmtId="3" fontId="35" fillId="2" borderId="72" xfId="4" applyNumberFormat="1" applyFont="1" applyFill="1" applyBorder="1" applyAlignment="1"/>
    <xf numFmtId="0" fontId="55" fillId="13" borderId="19" xfId="4" applyFont="1" applyFill="1" applyBorder="1" applyAlignment="1">
      <alignment vertical="center" wrapText="1"/>
    </xf>
    <xf numFmtId="0" fontId="55" fillId="13" borderId="16" xfId="4" applyFont="1" applyFill="1" applyBorder="1" applyAlignment="1">
      <alignment vertical="top" wrapText="1"/>
    </xf>
    <xf numFmtId="0" fontId="35" fillId="13" borderId="17" xfId="4" applyFont="1" applyFill="1" applyBorder="1" applyAlignment="1">
      <alignment horizontal="right" vertical="center"/>
    </xf>
    <xf numFmtId="3" fontId="55" fillId="13" borderId="70" xfId="4" applyNumberFormat="1" applyFont="1" applyFill="1" applyBorder="1" applyAlignment="1">
      <alignment horizontal="right" vertical="center"/>
    </xf>
    <xf numFmtId="3" fontId="35" fillId="13" borderId="70" xfId="4" applyNumberFormat="1" applyFont="1" applyFill="1" applyBorder="1" applyAlignment="1">
      <alignment horizontal="right" vertical="center"/>
    </xf>
    <xf numFmtId="3" fontId="35" fillId="25" borderId="3" xfId="4" applyNumberFormat="1" applyFont="1" applyFill="1" applyBorder="1" applyAlignment="1">
      <alignment horizontal="right" vertical="center"/>
    </xf>
    <xf numFmtId="3" fontId="55" fillId="6" borderId="9" xfId="4" applyNumberFormat="1" applyFont="1" applyFill="1" applyBorder="1" applyAlignment="1">
      <alignment horizontal="right" vertical="center"/>
    </xf>
    <xf numFmtId="0" fontId="60" fillId="13" borderId="36" xfId="4" applyFont="1" applyFill="1" applyBorder="1" applyAlignment="1">
      <alignment horizontal="left" vertical="center"/>
    </xf>
    <xf numFmtId="0" fontId="60" fillId="13" borderId="20" xfId="4" applyFont="1" applyFill="1" applyBorder="1" applyAlignment="1">
      <alignment horizontal="left" vertical="center"/>
    </xf>
    <xf numFmtId="3" fontId="58" fillId="13" borderId="29" xfId="4" applyNumberFormat="1" applyFont="1" applyFill="1" applyBorder="1" applyAlignment="1">
      <alignment horizontal="right" vertical="center"/>
    </xf>
    <xf numFmtId="3" fontId="49" fillId="13" borderId="43" xfId="4" applyNumberFormat="1" applyFont="1" applyFill="1" applyBorder="1" applyAlignment="1">
      <alignment horizontal="center" vertical="center" wrapText="1"/>
    </xf>
    <xf numFmtId="0" fontId="58" fillId="13" borderId="32" xfId="4" applyFont="1" applyFill="1" applyBorder="1" applyAlignment="1">
      <alignment vertical="top"/>
    </xf>
    <xf numFmtId="0" fontId="58" fillId="13" borderId="20" xfId="4" applyFont="1" applyFill="1" applyBorder="1" applyAlignment="1">
      <alignment vertical="top"/>
    </xf>
    <xf numFmtId="3" fontId="58" fillId="13" borderId="9" xfId="4" applyNumberFormat="1" applyFont="1" applyFill="1" applyBorder="1" applyAlignment="1">
      <alignment horizontal="right" vertical="center"/>
    </xf>
    <xf numFmtId="0" fontId="35" fillId="13" borderId="25" xfId="4" applyFont="1" applyFill="1" applyBorder="1" applyAlignment="1">
      <alignment vertical="top"/>
    </xf>
    <xf numFmtId="0" fontId="35" fillId="13" borderId="22" xfId="4" applyFont="1" applyFill="1" applyBorder="1" applyAlignment="1">
      <alignment vertical="top"/>
    </xf>
    <xf numFmtId="3" fontId="35" fillId="13" borderId="23" xfId="4" applyNumberFormat="1" applyFont="1" applyFill="1" applyBorder="1" applyAlignment="1">
      <alignment horizontal="right" vertical="center"/>
    </xf>
    <xf numFmtId="0" fontId="49" fillId="13" borderId="41" xfId="4" applyFont="1" applyFill="1" applyBorder="1" applyAlignment="1">
      <alignment horizontal="center" vertical="center" wrapText="1"/>
    </xf>
    <xf numFmtId="3" fontId="54" fillId="6" borderId="29" xfId="6" applyNumberFormat="1" applyFont="1" applyFill="1" applyBorder="1" applyAlignment="1">
      <alignment horizontal="right" vertical="center"/>
    </xf>
    <xf numFmtId="3" fontId="55" fillId="6" borderId="0" xfId="4" applyNumberFormat="1" applyFont="1" applyFill="1" applyBorder="1" applyAlignment="1"/>
    <xf numFmtId="3" fontId="58" fillId="2" borderId="0" xfId="4" applyNumberFormat="1" applyFont="1" applyFill="1" applyBorder="1" applyAlignment="1"/>
    <xf numFmtId="3" fontId="64" fillId="0" borderId="29" xfId="6" applyNumberFormat="1" applyFont="1" applyFill="1" applyBorder="1" applyAlignment="1">
      <alignment horizontal="right" vertical="center"/>
    </xf>
    <xf numFmtId="3" fontId="62" fillId="0" borderId="31" xfId="4" applyNumberFormat="1" applyFont="1" applyFill="1" applyBorder="1" applyAlignment="1">
      <alignment horizontal="right" vertical="center"/>
    </xf>
    <xf numFmtId="3" fontId="64" fillId="8" borderId="3" xfId="6" applyNumberFormat="1" applyFont="1" applyFill="1" applyBorder="1" applyAlignment="1">
      <alignment horizontal="right" vertical="center"/>
    </xf>
    <xf numFmtId="0" fontId="55" fillId="28" borderId="45" xfId="4" applyFont="1" applyFill="1" applyBorder="1" applyAlignment="1">
      <alignment vertical="center" wrapText="1"/>
    </xf>
    <xf numFmtId="0" fontId="55" fillId="28" borderId="14" xfId="4" applyFont="1" applyFill="1" applyBorder="1" applyAlignment="1">
      <alignment vertical="top" wrapText="1"/>
    </xf>
    <xf numFmtId="0" fontId="35" fillId="28" borderId="4" xfId="4" applyFont="1" applyFill="1" applyBorder="1" applyAlignment="1">
      <alignment vertical="top"/>
    </xf>
    <xf numFmtId="3" fontId="35" fillId="28" borderId="70" xfId="4" applyNumberFormat="1" applyFont="1" applyFill="1" applyBorder="1" applyAlignment="1">
      <alignment vertical="top"/>
    </xf>
    <xf numFmtId="3" fontId="35" fillId="28" borderId="2" xfId="4" applyNumberFormat="1" applyFont="1" applyFill="1" applyBorder="1" applyAlignment="1">
      <alignment vertical="top"/>
    </xf>
    <xf numFmtId="3" fontId="35" fillId="25" borderId="2" xfId="4" applyNumberFormat="1" applyFont="1" applyFill="1" applyBorder="1" applyAlignment="1">
      <alignment vertical="top"/>
    </xf>
    <xf numFmtId="3" fontId="55" fillId="6" borderId="29" xfId="0" applyNumberFormat="1" applyFont="1" applyFill="1" applyBorder="1" applyAlignment="1">
      <alignment horizontal="right" vertical="center"/>
    </xf>
    <xf numFmtId="0" fontId="60" fillId="28" borderId="34" xfId="4" applyFont="1" applyFill="1" applyBorder="1" applyAlignment="1">
      <alignment vertical="top" wrapText="1"/>
    </xf>
    <xf numFmtId="3" fontId="60" fillId="28" borderId="28" xfId="4" applyNumberFormat="1" applyFont="1" applyFill="1" applyBorder="1" applyAlignment="1">
      <alignment vertical="top" wrapText="1"/>
    </xf>
    <xf numFmtId="0" fontId="35" fillId="28" borderId="34" xfId="4" applyFont="1" applyFill="1" applyBorder="1" applyAlignment="1">
      <alignment vertical="top" wrapText="1"/>
    </xf>
    <xf numFmtId="0" fontId="35" fillId="28" borderId="28" xfId="4" applyFont="1" applyFill="1" applyBorder="1" applyAlignment="1">
      <alignment vertical="top" wrapText="1"/>
    </xf>
    <xf numFmtId="0" fontId="35" fillId="13" borderId="36" xfId="4" applyFont="1" applyFill="1" applyBorder="1" applyAlignment="1">
      <alignment vertical="top"/>
    </xf>
    <xf numFmtId="0" fontId="35" fillId="13" borderId="20" xfId="4" applyFont="1" applyFill="1" applyBorder="1" applyAlignment="1">
      <alignment vertical="top"/>
    </xf>
    <xf numFmtId="0" fontId="60" fillId="13" borderId="20" xfId="4" applyFont="1" applyFill="1" applyBorder="1" applyAlignment="1">
      <alignment vertical="top"/>
    </xf>
    <xf numFmtId="3" fontId="56" fillId="26" borderId="29" xfId="4" applyNumberFormat="1" applyFont="1" applyFill="1" applyBorder="1" applyAlignment="1">
      <alignment horizontal="right" vertical="center"/>
    </xf>
    <xf numFmtId="3" fontId="58" fillId="13" borderId="32" xfId="4" applyNumberFormat="1" applyFont="1" applyFill="1" applyBorder="1" applyAlignment="1">
      <alignment vertical="top" wrapText="1"/>
    </xf>
    <xf numFmtId="3" fontId="58" fillId="13" borderId="28" xfId="4" applyNumberFormat="1" applyFont="1" applyFill="1" applyBorder="1" applyAlignment="1">
      <alignment vertical="top" wrapText="1"/>
    </xf>
    <xf numFmtId="0" fontId="35" fillId="13" borderId="21" xfId="4" applyFont="1" applyFill="1" applyBorder="1" applyAlignment="1">
      <alignment vertical="top"/>
    </xf>
    <xf numFmtId="0" fontId="35" fillId="13" borderId="32" xfId="4" applyFont="1" applyFill="1" applyBorder="1" applyAlignment="1">
      <alignment vertical="top"/>
    </xf>
    <xf numFmtId="0" fontId="35" fillId="13" borderId="28" xfId="4" applyFont="1" applyFill="1" applyBorder="1" applyAlignment="1">
      <alignment horizontal="left" vertical="center"/>
    </xf>
    <xf numFmtId="0" fontId="60" fillId="13" borderId="36" xfId="4" applyFont="1" applyFill="1" applyBorder="1" applyAlignment="1">
      <alignment vertical="top"/>
    </xf>
    <xf numFmtId="3" fontId="60" fillId="13" borderId="9" xfId="4" applyNumberFormat="1" applyFont="1" applyFill="1" applyBorder="1" applyAlignment="1">
      <alignment horizontal="right" vertical="center"/>
    </xf>
    <xf numFmtId="3" fontId="35" fillId="13" borderId="32" xfId="4" applyNumberFormat="1" applyFont="1" applyFill="1" applyBorder="1" applyAlignment="1">
      <alignment vertical="top" wrapText="1"/>
    </xf>
    <xf numFmtId="3" fontId="62" fillId="0" borderId="30" xfId="0" applyNumberFormat="1" applyFont="1" applyFill="1" applyBorder="1" applyAlignment="1">
      <alignment horizontal="right" vertical="center"/>
    </xf>
    <xf numFmtId="0" fontId="35" fillId="0" borderId="21" xfId="0" applyFont="1" applyFill="1" applyBorder="1" applyAlignment="1">
      <alignment horizontal="left" vertical="center"/>
    </xf>
    <xf numFmtId="3" fontId="62" fillId="0" borderId="13" xfId="0" applyNumberFormat="1" applyFont="1" applyFill="1" applyBorder="1" applyAlignment="1">
      <alignment horizontal="right" vertical="center"/>
    </xf>
    <xf numFmtId="0" fontId="35" fillId="2" borderId="21" xfId="4" applyFont="1" applyFill="1" applyBorder="1" applyAlignment="1">
      <alignment vertical="top"/>
    </xf>
    <xf numFmtId="3" fontId="62" fillId="0" borderId="35" xfId="0" applyNumberFormat="1" applyFont="1" applyFill="1" applyBorder="1" applyAlignment="1">
      <alignment horizontal="right" vertical="center"/>
    </xf>
    <xf numFmtId="3" fontId="60" fillId="0" borderId="29" xfId="4" applyNumberFormat="1" applyFont="1" applyFill="1" applyBorder="1" applyAlignment="1">
      <alignment horizontal="right" vertical="center"/>
    </xf>
    <xf numFmtId="0" fontId="62" fillId="2" borderId="36" xfId="4" applyFont="1" applyFill="1" applyBorder="1" applyAlignment="1">
      <alignment vertical="top"/>
    </xf>
    <xf numFmtId="0" fontId="58" fillId="2" borderId="36" xfId="4" applyFont="1" applyFill="1" applyBorder="1" applyAlignment="1">
      <alignment vertical="top"/>
    </xf>
    <xf numFmtId="0" fontId="35" fillId="28" borderId="14" xfId="4" applyFont="1" applyFill="1" applyBorder="1" applyAlignment="1">
      <alignment vertical="top"/>
    </xf>
    <xf numFmtId="0" fontId="56" fillId="6" borderId="84" xfId="4" applyFont="1" applyFill="1" applyBorder="1" applyAlignment="1">
      <alignment horizontal="left" vertical="center"/>
    </xf>
    <xf numFmtId="3" fontId="55" fillId="6" borderId="28" xfId="0" applyNumberFormat="1" applyFont="1" applyFill="1" applyBorder="1" applyAlignment="1">
      <alignment horizontal="right" vertical="center"/>
    </xf>
    <xf numFmtId="3" fontId="58" fillId="13" borderId="28" xfId="4" applyNumberFormat="1" applyFont="1" applyFill="1" applyBorder="1" applyAlignment="1">
      <alignment horizontal="right" vertical="center"/>
    </xf>
    <xf numFmtId="3" fontId="35" fillId="13" borderId="28" xfId="4" applyNumberFormat="1" applyFont="1" applyFill="1" applyBorder="1" applyAlignment="1">
      <alignment horizontal="right" vertical="center"/>
    </xf>
    <xf numFmtId="3" fontId="60" fillId="13" borderId="28" xfId="4" applyNumberFormat="1" applyFont="1" applyFill="1" applyBorder="1" applyAlignment="1">
      <alignment horizontal="right" vertical="center"/>
    </xf>
    <xf numFmtId="0" fontId="47" fillId="2" borderId="25" xfId="4" applyFont="1" applyFill="1" applyBorder="1" applyAlignment="1">
      <alignment vertical="center"/>
    </xf>
    <xf numFmtId="0" fontId="65" fillId="2" borderId="68" xfId="4" applyFont="1" applyFill="1" applyBorder="1" applyAlignment="1">
      <alignment vertical="center"/>
    </xf>
    <xf numFmtId="0" fontId="65" fillId="2" borderId="24" xfId="4" applyFont="1" applyFill="1" applyBorder="1" applyAlignment="1">
      <alignment vertical="center"/>
    </xf>
    <xf numFmtId="3" fontId="65" fillId="2" borderId="24" xfId="4" applyNumberFormat="1" applyFont="1" applyFill="1" applyBorder="1" applyAlignment="1">
      <alignment vertical="center"/>
    </xf>
    <xf numFmtId="0" fontId="65" fillId="2" borderId="69" xfId="4" applyFont="1" applyFill="1" applyBorder="1" applyAlignment="1">
      <alignment horizontal="right" vertical="center" wrapText="1"/>
    </xf>
    <xf numFmtId="3" fontId="66" fillId="22" borderId="13" xfId="4" applyNumberFormat="1" applyFont="1" applyFill="1" applyBorder="1" applyAlignment="1">
      <alignment horizontal="right" vertical="center"/>
    </xf>
    <xf numFmtId="0" fontId="51" fillId="6" borderId="34" xfId="4" applyFont="1" applyFill="1" applyBorder="1" applyAlignment="1">
      <alignment horizontal="left" vertical="center"/>
    </xf>
    <xf numFmtId="0" fontId="51" fillId="6" borderId="28" xfId="4" applyFont="1" applyFill="1" applyBorder="1" applyAlignment="1">
      <alignment horizontal="left" vertical="center"/>
    </xf>
    <xf numFmtId="3" fontId="48" fillId="6" borderId="29" xfId="4" applyNumberFormat="1" applyFont="1" applyFill="1" applyBorder="1" applyAlignment="1">
      <alignment horizontal="right" vertical="center"/>
    </xf>
    <xf numFmtId="3" fontId="48" fillId="23" borderId="30" xfId="4" applyNumberFormat="1" applyFont="1" applyFill="1" applyBorder="1" applyAlignment="1">
      <alignment horizontal="right" vertical="center"/>
    </xf>
    <xf numFmtId="3" fontId="49" fillId="8" borderId="43" xfId="4" applyNumberFormat="1" applyFont="1" applyFill="1" applyBorder="1" applyAlignment="1">
      <alignment horizontal="center" vertical="top"/>
    </xf>
    <xf numFmtId="3" fontId="61" fillId="8" borderId="34" xfId="4" applyNumberFormat="1" applyFont="1" applyFill="1" applyBorder="1" applyAlignment="1">
      <alignment vertical="top" wrapText="1"/>
    </xf>
    <xf numFmtId="3" fontId="61" fillId="8" borderId="28" xfId="4" applyNumberFormat="1" applyFont="1" applyFill="1" applyBorder="1" applyAlignment="1">
      <alignment vertical="top" wrapText="1"/>
    </xf>
    <xf numFmtId="3" fontId="61" fillId="8" borderId="30" xfId="4" applyNumberFormat="1" applyFont="1" applyFill="1" applyBorder="1" applyAlignment="1">
      <alignment horizontal="right" vertical="center"/>
    </xf>
    <xf numFmtId="3" fontId="66" fillId="26" borderId="29" xfId="4" applyNumberFormat="1" applyFont="1" applyFill="1" applyBorder="1" applyAlignment="1">
      <alignment horizontal="right" vertical="center"/>
    </xf>
    <xf numFmtId="3" fontId="49" fillId="8" borderId="34" xfId="4" applyNumberFormat="1" applyFont="1" applyFill="1" applyBorder="1" applyAlignment="1">
      <alignment vertical="top" wrapText="1"/>
    </xf>
    <xf numFmtId="3" fontId="49" fillId="8" borderId="28" xfId="4" applyNumberFormat="1" applyFont="1" applyFill="1" applyBorder="1" applyAlignment="1">
      <alignment vertical="top" wrapText="1"/>
    </xf>
    <xf numFmtId="3" fontId="49" fillId="8" borderId="29" xfId="4" applyNumberFormat="1" applyFont="1" applyFill="1" applyBorder="1" applyAlignment="1">
      <alignment horizontal="right" vertical="center"/>
    </xf>
    <xf numFmtId="0" fontId="51" fillId="6" borderId="21" xfId="4" applyFont="1" applyFill="1" applyBorder="1" applyAlignment="1">
      <alignment horizontal="left" vertical="center"/>
    </xf>
    <xf numFmtId="0" fontId="66" fillId="8" borderId="28" xfId="4" applyFont="1" applyFill="1" applyBorder="1" applyAlignment="1">
      <alignment vertical="top"/>
    </xf>
    <xf numFmtId="3" fontId="67" fillId="8" borderId="29" xfId="6" applyNumberFormat="1" applyFont="1" applyFill="1" applyBorder="1" applyAlignment="1">
      <alignment vertical="center"/>
    </xf>
    <xf numFmtId="0" fontId="49" fillId="8" borderId="73" xfId="4" applyFont="1" applyFill="1" applyBorder="1" applyAlignment="1">
      <alignment vertical="center"/>
    </xf>
    <xf numFmtId="3" fontId="53" fillId="8" borderId="29" xfId="6" applyNumberFormat="1" applyFont="1" applyFill="1" applyBorder="1" applyAlignment="1">
      <alignment vertical="center"/>
    </xf>
    <xf numFmtId="0" fontId="48" fillId="8" borderId="14" xfId="4" applyFont="1" applyFill="1" applyBorder="1" applyAlignment="1">
      <alignment horizontal="center" vertical="center" wrapText="1"/>
    </xf>
    <xf numFmtId="3" fontId="48" fillId="24" borderId="2" xfId="4" applyNumberFormat="1" applyFont="1" applyFill="1" applyBorder="1" applyAlignment="1">
      <alignment horizontal="right" vertical="center"/>
    </xf>
    <xf numFmtId="0" fontId="51" fillId="6" borderId="32" xfId="4" applyFont="1" applyFill="1" applyBorder="1" applyAlignment="1">
      <alignment horizontal="left" vertical="center"/>
    </xf>
    <xf numFmtId="3" fontId="66" fillId="2" borderId="32" xfId="4" applyNumberFormat="1" applyFont="1" applyFill="1" applyBorder="1" applyAlignment="1">
      <alignment vertical="top" wrapText="1"/>
    </xf>
    <xf numFmtId="0" fontId="49" fillId="0" borderId="32" xfId="4" applyFont="1" applyFill="1" applyBorder="1" applyAlignment="1">
      <alignment vertical="top"/>
    </xf>
    <xf numFmtId="0" fontId="48" fillId="8" borderId="14" xfId="4" applyFont="1" applyFill="1" applyBorder="1" applyAlignment="1">
      <alignment horizontal="center" vertical="top" wrapText="1"/>
    </xf>
    <xf numFmtId="3" fontId="48" fillId="8" borderId="70" xfId="4" applyNumberFormat="1" applyFont="1" applyFill="1" applyBorder="1" applyAlignment="1">
      <alignment horizontal="right" vertical="center"/>
    </xf>
    <xf numFmtId="0" fontId="51" fillId="6" borderId="20" xfId="4" applyFont="1" applyFill="1" applyBorder="1" applyAlignment="1">
      <alignment horizontal="left" vertical="center"/>
    </xf>
    <xf numFmtId="3" fontId="66" fillId="2" borderId="34" xfId="4" applyNumberFormat="1" applyFont="1" applyFill="1" applyBorder="1" applyAlignment="1">
      <alignment vertical="top" wrapText="1"/>
    </xf>
    <xf numFmtId="0" fontId="49" fillId="0" borderId="83" xfId="4" applyFont="1" applyFill="1" applyBorder="1" applyAlignment="1">
      <alignment vertical="top"/>
    </xf>
    <xf numFmtId="3" fontId="53" fillId="0" borderId="72" xfId="6" applyNumberFormat="1" applyFont="1" applyFill="1" applyBorder="1" applyAlignment="1">
      <alignment vertical="center"/>
    </xf>
    <xf numFmtId="3" fontId="49" fillId="0" borderId="47" xfId="4" applyNumberFormat="1" applyFont="1" applyFill="1" applyBorder="1" applyAlignment="1">
      <alignment horizontal="right" vertical="center"/>
    </xf>
    <xf numFmtId="3" fontId="49" fillId="0" borderId="72" xfId="4" applyNumberFormat="1" applyFont="1" applyFill="1" applyBorder="1" applyAlignment="1">
      <alignment horizontal="right" vertical="center"/>
    </xf>
    <xf numFmtId="0" fontId="48" fillId="6" borderId="32" xfId="4" applyFont="1" applyFill="1" applyBorder="1" applyAlignment="1">
      <alignment horizontal="left" vertical="center"/>
    </xf>
    <xf numFmtId="3" fontId="61" fillId="2" borderId="32" xfId="4" applyNumberFormat="1" applyFont="1" applyFill="1" applyBorder="1" applyAlignment="1">
      <alignment vertical="top" wrapText="1"/>
    </xf>
    <xf numFmtId="3" fontId="66" fillId="2" borderId="32" xfId="4" applyNumberFormat="1" applyFont="1" applyFill="1" applyBorder="1" applyAlignment="1">
      <alignment vertical="center" wrapText="1"/>
    </xf>
    <xf numFmtId="0" fontId="52" fillId="0" borderId="77" xfId="4" applyFont="1" applyFill="1" applyBorder="1" applyAlignment="1">
      <alignment vertical="top"/>
    </xf>
    <xf numFmtId="3" fontId="57" fillId="6" borderId="29" xfId="6" applyNumberFormat="1" applyFont="1" applyFill="1" applyBorder="1" applyAlignment="1">
      <alignment horizontal="right" vertical="center"/>
    </xf>
    <xf numFmtId="3" fontId="67" fillId="0" borderId="29" xfId="6" applyNumberFormat="1" applyFont="1" applyFill="1" applyBorder="1" applyAlignment="1">
      <alignment horizontal="right" vertical="center"/>
    </xf>
    <xf numFmtId="0" fontId="51" fillId="8" borderId="19" xfId="4" applyFont="1" applyFill="1" applyBorder="1" applyAlignment="1">
      <alignment horizontal="left" vertical="center" wrapText="1"/>
    </xf>
    <xf numFmtId="3" fontId="67" fillId="8" borderId="3" xfId="6" applyNumberFormat="1" applyFont="1" applyFill="1" applyBorder="1" applyAlignment="1">
      <alignment horizontal="right" vertical="center"/>
    </xf>
    <xf numFmtId="3" fontId="48" fillId="8" borderId="17" xfId="4" applyNumberFormat="1" applyFont="1" applyFill="1" applyBorder="1" applyAlignment="1">
      <alignment horizontal="right" vertical="center"/>
    </xf>
    <xf numFmtId="3" fontId="48" fillId="8" borderId="2" xfId="4" applyNumberFormat="1" applyFont="1" applyFill="1" applyBorder="1" applyAlignment="1">
      <alignment horizontal="right" vertical="center"/>
    </xf>
    <xf numFmtId="0" fontId="49" fillId="0" borderId="77" xfId="4" applyFont="1" applyFill="1" applyBorder="1" applyAlignment="1">
      <alignment horizontal="left" vertical="center"/>
    </xf>
    <xf numFmtId="3" fontId="52" fillId="0" borderId="72" xfId="4" applyNumberFormat="1" applyFont="1" applyFill="1" applyBorder="1" applyAlignment="1">
      <alignment horizontal="right" vertical="center"/>
    </xf>
    <xf numFmtId="3" fontId="52" fillId="2" borderId="72" xfId="4" applyNumberFormat="1" applyFont="1" applyFill="1" applyBorder="1" applyAlignment="1">
      <alignment horizontal="right" vertical="center"/>
    </xf>
    <xf numFmtId="0" fontId="49" fillId="0" borderId="32" xfId="4" applyFont="1" applyFill="1" applyBorder="1" applyAlignment="1">
      <alignment horizontal="left" vertical="center"/>
    </xf>
    <xf numFmtId="0" fontId="49" fillId="0" borderId="21" xfId="4" applyFont="1" applyFill="1" applyBorder="1" applyAlignment="1">
      <alignment horizontal="left" vertical="center"/>
    </xf>
    <xf numFmtId="3" fontId="53" fillId="0" borderId="47" xfId="6" applyNumberFormat="1" applyFont="1" applyFill="1" applyBorder="1" applyAlignment="1">
      <alignment vertical="center"/>
    </xf>
    <xf numFmtId="0" fontId="49" fillId="0" borderId="0" xfId="4" applyFont="1" applyFill="1" applyBorder="1" applyAlignment="1">
      <alignment horizontal="left" vertical="center"/>
    </xf>
    <xf numFmtId="3" fontId="53" fillId="0" borderId="0" xfId="6" applyNumberFormat="1" applyFont="1" applyFill="1" applyBorder="1" applyAlignment="1">
      <alignment vertical="center"/>
    </xf>
    <xf numFmtId="3" fontId="49" fillId="0" borderId="0" xfId="4" applyNumberFormat="1" applyFont="1" applyFill="1" applyBorder="1" applyAlignment="1">
      <alignment horizontal="right" vertical="center"/>
    </xf>
    <xf numFmtId="3" fontId="49" fillId="2" borderId="0" xfId="4" applyNumberFormat="1" applyFont="1" applyFill="1" applyBorder="1" applyAlignment="1">
      <alignment horizontal="right" vertical="center"/>
    </xf>
    <xf numFmtId="3" fontId="48" fillId="0" borderId="0" xfId="4" applyNumberFormat="1" applyFont="1" applyFill="1" applyBorder="1" applyAlignment="1"/>
    <xf numFmtId="0" fontId="69" fillId="0" borderId="0" xfId="0" applyFont="1" applyBorder="1" applyAlignment="1">
      <alignment horizontal="center" vertical="center" wrapText="1"/>
    </xf>
    <xf numFmtId="3" fontId="2" fillId="0" borderId="0" xfId="0" applyNumberFormat="1" applyFont="1"/>
    <xf numFmtId="0" fontId="59" fillId="0" borderId="0" xfId="0" applyFont="1" applyFill="1" applyAlignment="1"/>
    <xf numFmtId="0" fontId="52" fillId="2" borderId="52" xfId="0" applyFont="1" applyFill="1" applyBorder="1" applyAlignment="1">
      <alignment horizontal="center" vertical="top"/>
    </xf>
    <xf numFmtId="0" fontId="52" fillId="2" borderId="80" xfId="0" applyFont="1" applyFill="1" applyBorder="1" applyAlignment="1">
      <alignment horizontal="center" vertical="top"/>
    </xf>
    <xf numFmtId="0" fontId="52" fillId="2" borderId="39" xfId="0" quotePrefix="1" applyFont="1" applyFill="1" applyBorder="1" applyAlignment="1">
      <alignment horizontal="center" vertical="top"/>
    </xf>
    <xf numFmtId="0" fontId="52" fillId="2" borderId="78" xfId="0" quotePrefix="1" applyFont="1" applyFill="1" applyBorder="1" applyAlignment="1">
      <alignment horizontal="center" vertical="top"/>
    </xf>
    <xf numFmtId="0" fontId="52" fillId="2" borderId="40" xfId="0" quotePrefix="1" applyFont="1" applyFill="1" applyBorder="1" applyAlignment="1">
      <alignment horizontal="center" vertical="top"/>
    </xf>
    <xf numFmtId="0" fontId="48" fillId="8" borderId="11" xfId="4" applyFont="1" applyFill="1" applyBorder="1" applyAlignment="1">
      <alignment horizontal="center" vertical="top"/>
    </xf>
    <xf numFmtId="3" fontId="63" fillId="8" borderId="29" xfId="6" applyNumberFormat="1" applyFont="1" applyFill="1" applyBorder="1" applyAlignment="1">
      <alignment vertical="center"/>
    </xf>
    <xf numFmtId="3" fontId="49" fillId="8" borderId="41" xfId="4" applyNumberFormat="1" applyFont="1" applyFill="1" applyBorder="1" applyAlignment="1">
      <alignment horizontal="center" vertical="top"/>
    </xf>
    <xf numFmtId="0" fontId="48" fillId="0" borderId="0" xfId="0" applyFont="1" applyAlignment="1">
      <alignment vertical="top"/>
    </xf>
    <xf numFmtId="0" fontId="49" fillId="0" borderId="0" xfId="0" applyFont="1" applyAlignment="1">
      <alignment vertical="top"/>
    </xf>
    <xf numFmtId="0" fontId="59" fillId="0" borderId="0" xfId="0" applyFont="1" applyFill="1" applyAlignment="1">
      <alignment horizontal="left"/>
    </xf>
    <xf numFmtId="0" fontId="51" fillId="2" borderId="5" xfId="0" applyFont="1" applyFill="1" applyBorder="1" applyAlignment="1">
      <alignment horizontal="center" vertical="top"/>
    </xf>
    <xf numFmtId="0" fontId="51" fillId="2" borderId="11" xfId="0" applyFont="1" applyFill="1" applyBorder="1" applyAlignment="1">
      <alignment horizontal="center" vertical="top"/>
    </xf>
    <xf numFmtId="0" fontId="52" fillId="0" borderId="37" xfId="0" applyFont="1" applyBorder="1" applyAlignment="1">
      <alignment horizontal="center" vertical="top"/>
    </xf>
    <xf numFmtId="0" fontId="52" fillId="0" borderId="47" xfId="0" applyFont="1" applyBorder="1" applyAlignment="1">
      <alignment horizontal="center" vertical="top"/>
    </xf>
    <xf numFmtId="0" fontId="52" fillId="0" borderId="47" xfId="0" quotePrefix="1" applyFont="1" applyBorder="1" applyAlignment="1">
      <alignment horizontal="center" vertical="top"/>
    </xf>
    <xf numFmtId="0" fontId="52" fillId="2" borderId="47" xfId="0" applyFont="1" applyFill="1" applyBorder="1" applyAlignment="1">
      <alignment horizontal="center" vertical="top"/>
    </xf>
    <xf numFmtId="0" fontId="52" fillId="2" borderId="47" xfId="0" quotePrefix="1" applyFont="1" applyFill="1" applyBorder="1" applyAlignment="1">
      <alignment horizontal="center" vertical="top"/>
    </xf>
    <xf numFmtId="0" fontId="49" fillId="2" borderId="47" xfId="0" quotePrefix="1" applyFont="1" applyFill="1" applyBorder="1" applyAlignment="1">
      <alignment horizontal="center" vertical="top"/>
    </xf>
    <xf numFmtId="0" fontId="48" fillId="8" borderId="11" xfId="0" applyFont="1" applyFill="1" applyBorder="1" applyAlignment="1">
      <alignment vertical="center"/>
    </xf>
    <xf numFmtId="3" fontId="58" fillId="22" borderId="35" xfId="4" applyNumberFormat="1" applyFont="1" applyFill="1" applyBorder="1" applyAlignment="1">
      <alignment horizontal="right" vertical="center"/>
    </xf>
    <xf numFmtId="3" fontId="35" fillId="29" borderId="67" xfId="0" applyNumberFormat="1" applyFont="1" applyFill="1" applyBorder="1" applyAlignment="1">
      <alignment horizontal="center" vertical="top" wrapText="1"/>
    </xf>
    <xf numFmtId="3" fontId="58" fillId="22" borderId="12" xfId="4" applyNumberFormat="1" applyFont="1" applyFill="1" applyBorder="1" applyAlignment="1">
      <alignment horizontal="right" vertical="center"/>
    </xf>
    <xf numFmtId="0" fontId="55" fillId="29" borderId="11" xfId="0" applyFont="1" applyFill="1" applyBorder="1" applyAlignment="1">
      <alignment vertical="top"/>
    </xf>
    <xf numFmtId="0" fontId="55" fillId="6" borderId="19" xfId="4" applyFont="1" applyFill="1" applyBorder="1" applyAlignment="1">
      <alignment horizontal="left" vertical="center"/>
    </xf>
    <xf numFmtId="0" fontId="55" fillId="6" borderId="16" xfId="4" applyFont="1" applyFill="1" applyBorder="1" applyAlignment="1">
      <alignment horizontal="left" vertical="center"/>
    </xf>
    <xf numFmtId="3" fontId="55" fillId="30" borderId="70" xfId="0" applyNumberFormat="1" applyFont="1" applyFill="1" applyBorder="1" applyAlignment="1">
      <alignment vertical="center"/>
    </xf>
    <xf numFmtId="0" fontId="60" fillId="8" borderId="36" xfId="4" applyFont="1" applyFill="1" applyBorder="1" applyAlignment="1">
      <alignment vertical="center"/>
    </xf>
    <xf numFmtId="0" fontId="35" fillId="8" borderId="28" xfId="0" applyFont="1" applyFill="1" applyBorder="1" applyAlignment="1">
      <alignment vertical="center" wrapText="1"/>
    </xf>
    <xf numFmtId="3" fontId="60" fillId="8" borderId="30" xfId="0" applyNumberFormat="1" applyFont="1" applyFill="1" applyBorder="1" applyAlignment="1">
      <alignment vertical="center"/>
    </xf>
    <xf numFmtId="3" fontId="49" fillId="8" borderId="67" xfId="0" applyNumberFormat="1" applyFont="1" applyFill="1" applyBorder="1" applyAlignment="1">
      <alignment horizontal="center" vertical="center" wrapText="1"/>
    </xf>
    <xf numFmtId="0" fontId="48" fillId="29" borderId="11" xfId="0" applyFont="1" applyFill="1" applyBorder="1" applyAlignment="1">
      <alignment vertical="top"/>
    </xf>
    <xf numFmtId="0" fontId="35" fillId="8" borderId="36" xfId="4" applyFont="1" applyFill="1" applyBorder="1" applyAlignment="1">
      <alignment vertical="center"/>
    </xf>
    <xf numFmtId="3" fontId="35" fillId="29" borderId="8" xfId="0" applyNumberFormat="1" applyFont="1" applyFill="1" applyBorder="1" applyAlignment="1">
      <alignment vertical="center" wrapText="1"/>
    </xf>
    <xf numFmtId="3" fontId="35" fillId="29" borderId="30" xfId="0" applyNumberFormat="1" applyFont="1" applyFill="1" applyBorder="1" applyAlignment="1">
      <alignment vertical="center"/>
    </xf>
    <xf numFmtId="0" fontId="60" fillId="8" borderId="32" xfId="4" applyFont="1" applyFill="1" applyBorder="1" applyAlignment="1">
      <alignment vertical="center"/>
    </xf>
    <xf numFmtId="0" fontId="55" fillId="8" borderId="28" xfId="0" applyFont="1" applyFill="1" applyBorder="1" applyAlignment="1">
      <alignment vertical="center"/>
    </xf>
    <xf numFmtId="3" fontId="60" fillId="8" borderId="9" xfId="0" applyNumberFormat="1" applyFont="1" applyFill="1" applyBorder="1" applyAlignment="1">
      <alignment vertical="center"/>
    </xf>
    <xf numFmtId="0" fontId="48" fillId="8" borderId="11" xfId="0" applyFont="1" applyFill="1" applyBorder="1" applyAlignment="1">
      <alignment vertical="top"/>
    </xf>
    <xf numFmtId="0" fontId="35" fillId="8" borderId="33" xfId="0" applyFont="1" applyFill="1" applyBorder="1" applyAlignment="1">
      <alignment vertical="top" wrapText="1"/>
    </xf>
    <xf numFmtId="3" fontId="35" fillId="8" borderId="73" xfId="0" applyNumberFormat="1" applyFont="1" applyFill="1" applyBorder="1" applyAlignment="1">
      <alignment vertical="top" wrapText="1"/>
    </xf>
    <xf numFmtId="3" fontId="49" fillId="8" borderId="67" xfId="0" applyNumberFormat="1" applyFont="1" applyFill="1" applyBorder="1" applyAlignment="1">
      <alignment horizontal="center" vertical="top" wrapText="1"/>
    </xf>
    <xf numFmtId="0" fontId="35" fillId="6" borderId="28" xfId="0" applyFont="1" applyFill="1" applyBorder="1" applyAlignment="1">
      <alignment vertical="top" wrapText="1"/>
    </xf>
    <xf numFmtId="3" fontId="55" fillId="6" borderId="35" xfId="0" applyNumberFormat="1" applyFont="1" applyFill="1" applyBorder="1" applyAlignment="1">
      <alignment vertical="top"/>
    </xf>
    <xf numFmtId="3" fontId="55" fillId="6" borderId="30" xfId="0" applyNumberFormat="1" applyFont="1" applyFill="1" applyBorder="1" applyAlignment="1">
      <alignment vertical="top"/>
    </xf>
    <xf numFmtId="0" fontId="48" fillId="8" borderId="25" xfId="0" applyFont="1" applyFill="1" applyBorder="1" applyAlignment="1">
      <alignment vertical="top"/>
    </xf>
    <xf numFmtId="0" fontId="35" fillId="8" borderId="37" xfId="0" applyFont="1" applyFill="1" applyBorder="1" applyAlignment="1">
      <alignment vertical="top" wrapText="1"/>
    </xf>
    <xf numFmtId="3" fontId="35" fillId="29" borderId="47" xfId="0" applyNumberFormat="1" applyFont="1" applyFill="1" applyBorder="1" applyAlignment="1">
      <alignment vertical="center"/>
    </xf>
    <xf numFmtId="3" fontId="49" fillId="8" borderId="69" xfId="0" applyNumberFormat="1" applyFont="1" applyFill="1" applyBorder="1" applyAlignment="1">
      <alignment horizontal="center" vertical="top" wrapText="1"/>
    </xf>
    <xf numFmtId="0" fontId="56" fillId="8" borderId="5" xfId="0" applyFont="1" applyFill="1" applyBorder="1" applyAlignment="1">
      <alignment vertical="center" wrapText="1"/>
    </xf>
    <xf numFmtId="0" fontId="56" fillId="8" borderId="14" xfId="0" applyFont="1" applyFill="1" applyBorder="1" applyAlignment="1">
      <alignment horizontal="center" vertical="center" wrapText="1"/>
    </xf>
    <xf numFmtId="3" fontId="35" fillId="8" borderId="4" xfId="0" applyNumberFormat="1" applyFont="1" applyFill="1" applyBorder="1" applyAlignment="1">
      <alignment vertical="top"/>
    </xf>
    <xf numFmtId="3" fontId="35" fillId="8" borderId="70" xfId="0" applyNumberFormat="1" applyFont="1" applyFill="1" applyBorder="1" applyAlignment="1">
      <alignment vertical="top"/>
    </xf>
    <xf numFmtId="0" fontId="35" fillId="8" borderId="70" xfId="0" applyFont="1" applyFill="1" applyBorder="1" applyAlignment="1">
      <alignment vertical="top"/>
    </xf>
    <xf numFmtId="0" fontId="35" fillId="8" borderId="2" xfId="0" applyFont="1" applyFill="1" applyBorder="1" applyAlignment="1">
      <alignment vertical="top"/>
    </xf>
    <xf numFmtId="3" fontId="56" fillId="6" borderId="29" xfId="0" applyNumberFormat="1" applyFont="1" applyFill="1" applyBorder="1" applyAlignment="1">
      <alignment vertical="top"/>
    </xf>
    <xf numFmtId="3" fontId="56" fillId="23" borderId="30" xfId="0" applyNumberFormat="1" applyFont="1" applyFill="1" applyBorder="1" applyAlignment="1">
      <alignment vertical="top"/>
    </xf>
    <xf numFmtId="3" fontId="58" fillId="2" borderId="32" xfId="4" applyNumberFormat="1" applyFont="1" applyFill="1" applyBorder="1" applyAlignment="1">
      <alignment vertical="center" wrapText="1"/>
    </xf>
    <xf numFmtId="3" fontId="58" fillId="2" borderId="29" xfId="0" applyNumberFormat="1" applyFont="1" applyFill="1" applyBorder="1" applyAlignment="1">
      <alignment vertical="top"/>
    </xf>
    <xf numFmtId="3" fontId="56" fillId="26" borderId="30" xfId="0" applyNumberFormat="1" applyFont="1" applyFill="1" applyBorder="1" applyAlignment="1">
      <alignment vertical="top"/>
    </xf>
    <xf numFmtId="0" fontId="62" fillId="0" borderId="21" xfId="0" applyFont="1" applyFill="1" applyBorder="1" applyAlignment="1">
      <alignment vertical="top"/>
    </xf>
    <xf numFmtId="3" fontId="62" fillId="0" borderId="29" xfId="0" applyNumberFormat="1" applyFont="1" applyFill="1" applyBorder="1" applyAlignment="1">
      <alignment vertical="top"/>
    </xf>
    <xf numFmtId="3" fontId="62" fillId="0" borderId="9" xfId="0" applyNumberFormat="1" applyFont="1" applyFill="1" applyBorder="1" applyAlignment="1">
      <alignment vertical="top"/>
    </xf>
    <xf numFmtId="3" fontId="58" fillId="0" borderId="29" xfId="0" applyNumberFormat="1" applyFont="1" applyFill="1" applyBorder="1" applyAlignment="1">
      <alignment vertical="top"/>
    </xf>
    <xf numFmtId="0" fontId="62" fillId="0" borderId="33" xfId="0" applyFont="1" applyFill="1" applyBorder="1" applyAlignment="1">
      <alignment horizontal="left" vertical="center" wrapText="1"/>
    </xf>
    <xf numFmtId="3" fontId="62" fillId="0" borderId="65" xfId="0" applyNumberFormat="1" applyFont="1" applyFill="1" applyBorder="1" applyAlignment="1">
      <alignment vertical="top"/>
    </xf>
    <xf numFmtId="3" fontId="62" fillId="0" borderId="63" xfId="0" applyNumberFormat="1" applyFont="1" applyFill="1" applyBorder="1" applyAlignment="1">
      <alignment horizontal="right" vertical="center"/>
    </xf>
    <xf numFmtId="0" fontId="35" fillId="6" borderId="28" xfId="0" applyFont="1" applyFill="1" applyBorder="1" applyAlignment="1">
      <alignment horizontal="left" vertical="center" wrapText="1"/>
    </xf>
    <xf numFmtId="3" fontId="56" fillId="6" borderId="30" xfId="0" applyNumberFormat="1" applyFont="1" applyFill="1" applyBorder="1" applyAlignment="1">
      <alignment vertical="top"/>
    </xf>
    <xf numFmtId="3" fontId="58" fillId="2" borderId="84" xfId="4" applyNumberFormat="1" applyFont="1" applyFill="1" applyBorder="1" applyAlignment="1">
      <alignment vertical="center" wrapText="1"/>
    </xf>
    <xf numFmtId="0" fontId="62" fillId="0" borderId="85" xfId="0" applyFont="1" applyFill="1" applyBorder="1" applyAlignment="1">
      <alignment vertical="top"/>
    </xf>
    <xf numFmtId="3" fontId="62" fillId="0" borderId="30" xfId="0" applyNumberFormat="1" applyFont="1" applyFill="1" applyBorder="1" applyAlignment="1">
      <alignment vertical="top"/>
    </xf>
    <xf numFmtId="0" fontId="58" fillId="2" borderId="31" xfId="4" applyFont="1" applyFill="1" applyBorder="1" applyAlignment="1">
      <alignment vertical="top"/>
    </xf>
    <xf numFmtId="3" fontId="58" fillId="0" borderId="30" xfId="0" applyNumberFormat="1" applyFont="1" applyFill="1" applyBorder="1" applyAlignment="1">
      <alignment vertical="top"/>
    </xf>
    <xf numFmtId="3" fontId="62" fillId="0" borderId="47" xfId="0" applyNumberFormat="1" applyFont="1" applyFill="1" applyBorder="1" applyAlignment="1">
      <alignment vertical="top"/>
    </xf>
    <xf numFmtId="3" fontId="62" fillId="0" borderId="47" xfId="0" applyNumberFormat="1" applyFont="1" applyFill="1" applyBorder="1" applyAlignment="1">
      <alignment horizontal="right" vertical="center"/>
    </xf>
    <xf numFmtId="0" fontId="62" fillId="6" borderId="28" xfId="0" applyFont="1" applyFill="1" applyBorder="1" applyAlignment="1">
      <alignment vertical="top"/>
    </xf>
    <xf numFmtId="0" fontId="35" fillId="6" borderId="20" xfId="0" applyFont="1" applyFill="1" applyBorder="1" applyAlignment="1">
      <alignment horizontal="left" vertical="center" wrapText="1"/>
    </xf>
    <xf numFmtId="3" fontId="62" fillId="0" borderId="72" xfId="0" applyNumberFormat="1" applyFont="1" applyFill="1" applyBorder="1" applyAlignment="1">
      <alignment vertical="top"/>
    </xf>
    <xf numFmtId="0" fontId="52" fillId="0" borderId="0" xfId="0" applyFont="1" applyFill="1" applyBorder="1" applyAlignment="1">
      <alignment horizontal="left" vertical="center" wrapText="1"/>
    </xf>
    <xf numFmtId="0" fontId="57" fillId="0" borderId="0" xfId="0" applyFont="1" applyBorder="1" applyAlignment="1">
      <alignment horizontal="center" vertical="center" wrapText="1"/>
    </xf>
    <xf numFmtId="3" fontId="52" fillId="0" borderId="0" xfId="0" applyNumberFormat="1" applyFont="1" applyFill="1" applyBorder="1" applyAlignment="1">
      <alignment vertical="top"/>
    </xf>
    <xf numFmtId="3" fontId="52" fillId="0" borderId="0" xfId="0" applyNumberFormat="1" applyFont="1" applyFill="1" applyBorder="1" applyAlignment="1">
      <alignment horizontal="right" vertical="center"/>
    </xf>
    <xf numFmtId="3" fontId="51" fillId="0" borderId="0" xfId="0" applyNumberFormat="1" applyFont="1" applyFill="1" applyBorder="1" applyAlignment="1">
      <alignment horizontal="center" vertical="center"/>
    </xf>
    <xf numFmtId="0" fontId="49" fillId="2" borderId="24" xfId="0" applyFont="1" applyFill="1" applyBorder="1" applyAlignment="1">
      <alignment vertical="top"/>
    </xf>
    <xf numFmtId="0" fontId="49" fillId="0" borderId="0" xfId="0" applyFont="1" applyFill="1" applyAlignment="1">
      <alignment vertical="top"/>
    </xf>
    <xf numFmtId="0" fontId="49" fillId="31" borderId="0" xfId="0" applyFont="1" applyFill="1" applyAlignment="1">
      <alignment vertical="top"/>
    </xf>
    <xf numFmtId="0" fontId="56" fillId="6" borderId="19" xfId="4" applyFont="1" applyFill="1" applyBorder="1" applyAlignment="1">
      <alignment horizontal="left" vertical="center"/>
    </xf>
    <xf numFmtId="0" fontId="56" fillId="6" borderId="16" xfId="4" applyFont="1" applyFill="1" applyBorder="1" applyAlignment="1">
      <alignment horizontal="left" vertical="center"/>
    </xf>
    <xf numFmtId="3" fontId="56" fillId="6" borderId="17" xfId="0" applyNumberFormat="1" applyFont="1" applyFill="1" applyBorder="1" applyAlignment="1">
      <alignment vertical="top"/>
    </xf>
    <xf numFmtId="3" fontId="56" fillId="23" borderId="70" xfId="0" applyNumberFormat="1" applyFont="1" applyFill="1" applyBorder="1" applyAlignment="1">
      <alignment vertical="top"/>
    </xf>
    <xf numFmtId="0" fontId="58" fillId="8" borderId="36" xfId="4" applyFont="1" applyFill="1" applyBorder="1" applyAlignment="1">
      <alignment vertical="top"/>
    </xf>
    <xf numFmtId="3" fontId="58" fillId="8" borderId="29" xfId="0" applyNumberFormat="1" applyFont="1" applyFill="1" applyBorder="1" applyAlignment="1">
      <alignment vertical="top"/>
    </xf>
    <xf numFmtId="3" fontId="58" fillId="24" borderId="30" xfId="0" applyNumberFormat="1" applyFont="1" applyFill="1" applyBorder="1" applyAlignment="1">
      <alignment vertical="top"/>
    </xf>
    <xf numFmtId="3" fontId="49" fillId="0" borderId="0" xfId="0" applyNumberFormat="1" applyFont="1" applyFill="1" applyAlignment="1">
      <alignment vertical="top"/>
    </xf>
    <xf numFmtId="0" fontId="62" fillId="8" borderId="32" xfId="0" applyFont="1" applyFill="1" applyBorder="1" applyAlignment="1">
      <alignment vertical="top"/>
    </xf>
    <xf numFmtId="3" fontId="62" fillId="8" borderId="29" xfId="0" applyNumberFormat="1" applyFont="1" applyFill="1" applyBorder="1" applyAlignment="1">
      <alignment vertical="top"/>
    </xf>
    <xf numFmtId="3" fontId="56" fillId="24" borderId="29" xfId="0" applyNumberFormat="1" applyFont="1" applyFill="1" applyBorder="1" applyAlignment="1">
      <alignment horizontal="center" vertical="top"/>
    </xf>
    <xf numFmtId="0" fontId="62" fillId="8" borderId="32" xfId="0" applyFont="1" applyFill="1" applyBorder="1" applyAlignment="1">
      <alignment vertical="center"/>
    </xf>
    <xf numFmtId="3" fontId="62" fillId="8" borderId="29" xfId="0" applyNumberFormat="1" applyFont="1" applyFill="1" applyBorder="1" applyAlignment="1">
      <alignment vertical="center"/>
    </xf>
    <xf numFmtId="3" fontId="56" fillId="24" borderId="29" xfId="0" applyNumberFormat="1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0" fontId="49" fillId="31" borderId="0" xfId="0" applyFont="1" applyFill="1" applyAlignment="1">
      <alignment vertical="center"/>
    </xf>
    <xf numFmtId="3" fontId="58" fillId="8" borderId="29" xfId="0" applyNumberFormat="1" applyFont="1" applyFill="1" applyBorder="1" applyAlignment="1">
      <alignment horizontal="right" vertical="center"/>
    </xf>
    <xf numFmtId="3" fontId="58" fillId="8" borderId="30" xfId="0" applyNumberFormat="1" applyFont="1" applyFill="1" applyBorder="1" applyAlignment="1">
      <alignment horizontal="right" vertical="center"/>
    </xf>
    <xf numFmtId="3" fontId="56" fillId="24" borderId="29" xfId="0" applyNumberFormat="1" applyFont="1" applyFill="1" applyBorder="1" applyAlignment="1">
      <alignment horizontal="center" vertical="center"/>
    </xf>
    <xf numFmtId="3" fontId="51" fillId="8" borderId="67" xfId="0" applyNumberFormat="1" applyFont="1" applyFill="1" applyBorder="1" applyAlignment="1">
      <alignment horizontal="center" vertical="center" wrapText="1"/>
    </xf>
    <xf numFmtId="3" fontId="62" fillId="8" borderId="30" xfId="0" applyNumberFormat="1" applyFont="1" applyFill="1" applyBorder="1" applyAlignment="1">
      <alignment vertical="top"/>
    </xf>
    <xf numFmtId="0" fontId="56" fillId="6" borderId="30" xfId="4" applyFont="1" applyFill="1" applyBorder="1" applyAlignment="1">
      <alignment horizontal="right" vertical="center"/>
    </xf>
    <xf numFmtId="0" fontId="58" fillId="8" borderId="36" xfId="4" applyFont="1" applyFill="1" applyBorder="1" applyAlignment="1">
      <alignment vertical="center"/>
    </xf>
    <xf numFmtId="0" fontId="58" fillId="8" borderId="6" xfId="4" applyFont="1" applyFill="1" applyBorder="1" applyAlignment="1">
      <alignment horizontal="center" vertical="center"/>
    </xf>
    <xf numFmtId="0" fontId="55" fillId="8" borderId="19" xfId="0" applyFont="1" applyFill="1" applyBorder="1" applyAlignment="1">
      <alignment vertical="center" wrapText="1"/>
    </xf>
    <xf numFmtId="0" fontId="55" fillId="8" borderId="17" xfId="0" applyFont="1" applyFill="1" applyBorder="1" applyAlignment="1">
      <alignment horizontal="center" vertical="center" wrapText="1"/>
    </xf>
    <xf numFmtId="0" fontId="35" fillId="8" borderId="18" xfId="0" applyFont="1" applyFill="1" applyBorder="1" applyAlignment="1">
      <alignment vertical="top"/>
    </xf>
    <xf numFmtId="0" fontId="35" fillId="8" borderId="79" xfId="0" applyFont="1" applyFill="1" applyBorder="1" applyAlignment="1">
      <alignment vertical="top"/>
    </xf>
    <xf numFmtId="3" fontId="35" fillId="8" borderId="79" xfId="0" applyNumberFormat="1" applyFont="1" applyFill="1" applyBorder="1" applyAlignment="1">
      <alignment vertical="top"/>
    </xf>
    <xf numFmtId="3" fontId="35" fillId="24" borderId="70" xfId="0" applyNumberFormat="1" applyFont="1" applyFill="1" applyBorder="1" applyAlignment="1">
      <alignment vertical="top"/>
    </xf>
    <xf numFmtId="0" fontId="55" fillId="6" borderId="21" xfId="4" applyFont="1" applyFill="1" applyBorder="1" applyAlignment="1">
      <alignment horizontal="left" vertical="center"/>
    </xf>
    <xf numFmtId="0" fontId="56" fillId="6" borderId="9" xfId="4" applyFont="1" applyFill="1" applyBorder="1" applyAlignment="1">
      <alignment horizontal="left" vertical="center"/>
    </xf>
    <xf numFmtId="3" fontId="56" fillId="6" borderId="9" xfId="0" applyNumberFormat="1" applyFont="1" applyFill="1" applyBorder="1" applyAlignment="1">
      <alignment vertical="top"/>
    </xf>
    <xf numFmtId="3" fontId="56" fillId="23" borderId="35" xfId="0" applyNumberFormat="1" applyFont="1" applyFill="1" applyBorder="1" applyAlignment="1">
      <alignment vertical="top"/>
    </xf>
    <xf numFmtId="0" fontId="62" fillId="33" borderId="32" xfId="0" applyFont="1" applyFill="1" applyBorder="1" applyAlignment="1">
      <alignment vertical="center"/>
    </xf>
    <xf numFmtId="3" fontId="62" fillId="33" borderId="29" xfId="0" applyNumberFormat="1" applyFont="1" applyFill="1" applyBorder="1" applyAlignment="1">
      <alignment vertical="center"/>
    </xf>
    <xf numFmtId="0" fontId="56" fillId="6" borderId="29" xfId="4" applyFont="1" applyFill="1" applyBorder="1" applyAlignment="1">
      <alignment horizontal="left" vertical="center"/>
    </xf>
    <xf numFmtId="0" fontId="35" fillId="8" borderId="3" xfId="0" applyFont="1" applyFill="1" applyBorder="1" applyAlignment="1">
      <alignment vertical="top"/>
    </xf>
    <xf numFmtId="0" fontId="49" fillId="0" borderId="0" xfId="0" applyFont="1" applyAlignment="1">
      <alignment horizontal="center" vertical="top" wrapText="1"/>
    </xf>
    <xf numFmtId="0" fontId="49" fillId="0" borderId="0" xfId="0" applyFont="1" applyBorder="1" applyAlignment="1">
      <alignment vertical="top"/>
    </xf>
    <xf numFmtId="0" fontId="49" fillId="0" borderId="0" xfId="0" applyFont="1" applyBorder="1" applyAlignment="1">
      <alignment horizontal="center" vertical="top" wrapText="1"/>
    </xf>
    <xf numFmtId="0" fontId="49" fillId="0" borderId="67" xfId="0" applyFont="1" applyBorder="1" applyAlignment="1">
      <alignment vertical="top"/>
    </xf>
    <xf numFmtId="0" fontId="61" fillId="8" borderId="11" xfId="0" applyFont="1" applyFill="1" applyBorder="1" applyAlignment="1">
      <alignment vertical="top"/>
    </xf>
    <xf numFmtId="3" fontId="55" fillId="23" borderId="70" xfId="0" applyNumberFormat="1" applyFont="1" applyFill="1" applyBorder="1" applyAlignment="1">
      <alignment vertical="center"/>
    </xf>
    <xf numFmtId="3" fontId="60" fillId="24" borderId="30" xfId="0" applyNumberFormat="1" applyFont="1" applyFill="1" applyBorder="1" applyAlignment="1">
      <alignment vertical="center"/>
    </xf>
    <xf numFmtId="3" fontId="35" fillId="24" borderId="30" xfId="0" applyNumberFormat="1" applyFont="1" applyFill="1" applyBorder="1" applyAlignment="1">
      <alignment vertical="center"/>
    </xf>
    <xf numFmtId="3" fontId="62" fillId="0" borderId="63" xfId="0" applyNumberFormat="1" applyFont="1" applyFill="1" applyBorder="1" applyAlignment="1">
      <alignment vertical="top"/>
    </xf>
    <xf numFmtId="0" fontId="2" fillId="0" borderId="0" xfId="0" applyFont="1" applyAlignment="1">
      <alignment vertical="center"/>
    </xf>
    <xf numFmtId="0" fontId="47" fillId="2" borderId="89" xfId="0" applyFont="1" applyFill="1" applyBorder="1" applyAlignment="1">
      <alignment vertical="center"/>
    </xf>
    <xf numFmtId="0" fontId="65" fillId="2" borderId="51" xfId="0" applyFont="1" applyFill="1" applyBorder="1" applyAlignment="1">
      <alignment vertical="top"/>
    </xf>
    <xf numFmtId="3" fontId="36" fillId="2" borderId="51" xfId="0" applyNumberFormat="1" applyFont="1" applyFill="1" applyBorder="1" applyAlignment="1">
      <alignment horizontal="left" vertical="top"/>
    </xf>
    <xf numFmtId="0" fontId="65" fillId="0" borderId="51" xfId="0" applyFont="1" applyFill="1" applyBorder="1" applyAlignment="1">
      <alignment vertical="top"/>
    </xf>
    <xf numFmtId="0" fontId="65" fillId="0" borderId="80" xfId="0" applyFont="1" applyFill="1" applyBorder="1" applyAlignment="1">
      <alignment vertical="top"/>
    </xf>
    <xf numFmtId="3" fontId="55" fillId="30" borderId="35" xfId="0" applyNumberFormat="1" applyFont="1" applyFill="1" applyBorder="1" applyAlignment="1">
      <alignment vertical="center"/>
    </xf>
    <xf numFmtId="0" fontId="51" fillId="8" borderId="11" xfId="0" applyFont="1" applyFill="1" applyBorder="1" applyAlignment="1">
      <alignment vertical="center"/>
    </xf>
    <xf numFmtId="3" fontId="58" fillId="8" borderId="30" xfId="0" applyNumberFormat="1" applyFont="1" applyFill="1" applyBorder="1" applyAlignment="1">
      <alignment vertical="center"/>
    </xf>
    <xf numFmtId="3" fontId="62" fillId="29" borderId="30" xfId="0" applyNumberFormat="1" applyFont="1" applyFill="1" applyBorder="1" applyAlignment="1">
      <alignment vertical="center"/>
    </xf>
    <xf numFmtId="3" fontId="62" fillId="24" borderId="30" xfId="0" applyNumberFormat="1" applyFont="1" applyFill="1" applyBorder="1" applyAlignment="1">
      <alignment vertical="center"/>
    </xf>
    <xf numFmtId="0" fontId="2" fillId="0" borderId="0" xfId="0" applyFont="1" applyBorder="1"/>
    <xf numFmtId="0" fontId="2" fillId="0" borderId="24" xfId="0" applyFont="1" applyBorder="1"/>
    <xf numFmtId="0" fontId="52" fillId="0" borderId="28" xfId="0" applyFont="1" applyBorder="1" applyAlignment="1">
      <alignment horizontal="center" vertical="top"/>
    </xf>
    <xf numFmtId="0" fontId="53" fillId="0" borderId="79" xfId="0" applyFont="1" applyBorder="1" applyAlignment="1">
      <alignment horizontal="center" vertical="center"/>
    </xf>
    <xf numFmtId="0" fontId="53" fillId="0" borderId="16" xfId="0" applyFont="1" applyBorder="1" applyAlignment="1">
      <alignment horizontal="center" vertical="center"/>
    </xf>
    <xf numFmtId="0" fontId="53" fillId="0" borderId="70" xfId="0" applyFont="1" applyBorder="1" applyAlignment="1">
      <alignment horizontal="center" vertical="center"/>
    </xf>
    <xf numFmtId="0" fontId="56" fillId="6" borderId="8" xfId="4" applyFont="1" applyFill="1" applyBorder="1" applyAlignment="1">
      <alignment horizontal="left" vertical="center"/>
    </xf>
    <xf numFmtId="3" fontId="55" fillId="6" borderId="29" xfId="4" applyNumberFormat="1" applyFont="1" applyFill="1" applyBorder="1" applyAlignment="1">
      <alignment vertical="center"/>
    </xf>
    <xf numFmtId="3" fontId="55" fillId="6" borderId="30" xfId="4" applyNumberFormat="1" applyFont="1" applyFill="1" applyBorder="1" applyAlignment="1">
      <alignment vertical="center"/>
    </xf>
    <xf numFmtId="3" fontId="49" fillId="0" borderId="0" xfId="0" applyNumberFormat="1" applyFont="1" applyAlignment="1">
      <alignment vertical="top"/>
    </xf>
    <xf numFmtId="3" fontId="60" fillId="8" borderId="31" xfId="4" applyNumberFormat="1" applyFont="1" applyFill="1" applyBorder="1" applyAlignment="1">
      <alignment vertical="top" wrapText="1"/>
    </xf>
    <xf numFmtId="3" fontId="58" fillId="8" borderId="28" xfId="0" applyNumberFormat="1" applyFont="1" applyFill="1" applyBorder="1" applyAlignment="1">
      <alignment vertical="top"/>
    </xf>
    <xf numFmtId="3" fontId="58" fillId="8" borderId="30" xfId="0" applyNumberFormat="1" applyFont="1" applyFill="1" applyBorder="1" applyAlignment="1">
      <alignment vertical="top"/>
    </xf>
    <xf numFmtId="3" fontId="35" fillId="8" borderId="31" xfId="4" applyNumberFormat="1" applyFont="1" applyFill="1" applyBorder="1" applyAlignment="1">
      <alignment vertical="top" wrapText="1"/>
    </xf>
    <xf numFmtId="3" fontId="62" fillId="8" borderId="28" xfId="0" applyNumberFormat="1" applyFont="1" applyFill="1" applyBorder="1" applyAlignment="1">
      <alignment vertical="top"/>
    </xf>
    <xf numFmtId="3" fontId="63" fillId="8" borderId="28" xfId="6" applyNumberFormat="1" applyFont="1" applyFill="1" applyBorder="1" applyAlignment="1">
      <alignment vertical="center"/>
    </xf>
    <xf numFmtId="0" fontId="48" fillId="8" borderId="25" xfId="4" applyFont="1" applyFill="1" applyBorder="1" applyAlignment="1">
      <alignment horizontal="center" vertical="top"/>
    </xf>
    <xf numFmtId="3" fontId="58" fillId="2" borderId="30" xfId="4" applyNumberFormat="1" applyFont="1" applyFill="1" applyBorder="1" applyAlignment="1">
      <alignment horizontal="right" vertical="center"/>
    </xf>
    <xf numFmtId="3" fontId="60" fillId="2" borderId="30" xfId="4" applyNumberFormat="1" applyFont="1" applyFill="1" applyBorder="1" applyAlignment="1">
      <alignment horizontal="right" vertical="center"/>
    </xf>
    <xf numFmtId="3" fontId="60" fillId="0" borderId="63" xfId="4" applyNumberFormat="1" applyFont="1" applyFill="1" applyBorder="1" applyAlignment="1">
      <alignment horizontal="right" vertical="center"/>
    </xf>
    <xf numFmtId="0" fontId="49" fillId="0" borderId="0" xfId="0" applyFont="1" applyAlignment="1">
      <alignment vertical="center"/>
    </xf>
    <xf numFmtId="3" fontId="49" fillId="0" borderId="0" xfId="0" applyNumberFormat="1" applyFont="1" applyAlignment="1">
      <alignment vertical="center"/>
    </xf>
    <xf numFmtId="3" fontId="58" fillId="2" borderId="31" xfId="4" applyNumberFormat="1" applyFont="1" applyFill="1" applyBorder="1" applyAlignment="1">
      <alignment vertical="top" wrapText="1"/>
    </xf>
    <xf numFmtId="0" fontId="48" fillId="8" borderId="19" xfId="0" applyFont="1" applyFill="1" applyBorder="1" applyAlignment="1">
      <alignment vertical="center" wrapText="1"/>
    </xf>
    <xf numFmtId="0" fontId="48" fillId="8" borderId="14" xfId="0" applyFont="1" applyFill="1" applyBorder="1" applyAlignment="1">
      <alignment horizontal="center" vertical="center" wrapText="1"/>
    </xf>
    <xf numFmtId="0" fontId="49" fillId="8" borderId="3" xfId="0" applyFont="1" applyFill="1" applyBorder="1" applyAlignment="1">
      <alignment vertical="top"/>
    </xf>
    <xf numFmtId="0" fontId="49" fillId="8" borderId="70" xfId="0" applyFont="1" applyFill="1" applyBorder="1" applyAlignment="1">
      <alignment vertical="top"/>
    </xf>
    <xf numFmtId="0" fontId="49" fillId="8" borderId="79" xfId="0" applyFont="1" applyFill="1" applyBorder="1" applyAlignment="1">
      <alignment vertical="top"/>
    </xf>
    <xf numFmtId="3" fontId="49" fillId="8" borderId="79" xfId="0" applyNumberFormat="1" applyFont="1" applyFill="1" applyBorder="1" applyAlignment="1">
      <alignment vertical="top"/>
    </xf>
    <xf numFmtId="3" fontId="49" fillId="24" borderId="70" xfId="0" applyNumberFormat="1" applyFont="1" applyFill="1" applyBorder="1" applyAlignment="1">
      <alignment vertical="top"/>
    </xf>
    <xf numFmtId="3" fontId="49" fillId="2" borderId="47" xfId="4" applyNumberFormat="1" applyFont="1" applyFill="1" applyBorder="1" applyAlignment="1">
      <alignment horizontal="right" vertical="center"/>
    </xf>
    <xf numFmtId="3" fontId="49" fillId="2" borderId="12" xfId="4" applyNumberFormat="1" applyFont="1" applyFill="1" applyBorder="1" applyAlignment="1">
      <alignment horizontal="right" vertical="center"/>
    </xf>
    <xf numFmtId="0" fontId="36" fillId="0" borderId="0" xfId="0" applyFont="1" applyFill="1"/>
    <xf numFmtId="0" fontId="36" fillId="0" borderId="0" xfId="0" applyFont="1"/>
    <xf numFmtId="0" fontId="75" fillId="2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5" fillId="0" borderId="23" xfId="0" applyFont="1" applyBorder="1" applyAlignment="1">
      <alignment horizontal="center" vertical="center" wrapText="1"/>
    </xf>
    <xf numFmtId="0" fontId="76" fillId="0" borderId="12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7" fillId="0" borderId="4" xfId="0" quotePrefix="1" applyFont="1" applyBorder="1" applyAlignment="1">
      <alignment horizontal="center" vertical="center"/>
    </xf>
    <xf numFmtId="3" fontId="77" fillId="0" borderId="4" xfId="0" applyNumberFormat="1" applyFont="1" applyBorder="1" applyAlignment="1">
      <alignment horizontal="center" vertical="center"/>
    </xf>
    <xf numFmtId="3" fontId="77" fillId="0" borderId="15" xfId="0" applyNumberFormat="1" applyFont="1" applyBorder="1" applyAlignment="1">
      <alignment horizontal="center" vertical="center"/>
    </xf>
    <xf numFmtId="3" fontId="17" fillId="0" borderId="15" xfId="0" quotePrefix="1" applyNumberFormat="1" applyFont="1" applyBorder="1" applyAlignment="1">
      <alignment horizontal="center" vertical="center"/>
    </xf>
    <xf numFmtId="3" fontId="17" fillId="0" borderId="2" xfId="0" quotePrefix="1" applyNumberFormat="1" applyFont="1" applyBorder="1" applyAlignment="1">
      <alignment horizontal="center" vertical="center"/>
    </xf>
    <xf numFmtId="0" fontId="36" fillId="0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165" fontId="78" fillId="0" borderId="0" xfId="0" applyNumberFormat="1" applyFont="1" applyFill="1" applyBorder="1" applyAlignment="1">
      <alignment vertical="center"/>
    </xf>
    <xf numFmtId="3" fontId="78" fillId="0" borderId="0" xfId="0" applyNumberFormat="1" applyFont="1" applyFill="1" applyAlignment="1">
      <alignment vertical="center"/>
    </xf>
    <xf numFmtId="0" fontId="78" fillId="0" borderId="0" xfId="0" applyFont="1" applyFill="1" applyBorder="1" applyAlignment="1">
      <alignment vertical="center"/>
    </xf>
    <xf numFmtId="165" fontId="78" fillId="2" borderId="0" xfId="0" applyNumberFormat="1" applyFont="1" applyFill="1" applyBorder="1" applyAlignment="1">
      <alignment vertical="center"/>
    </xf>
    <xf numFmtId="3" fontId="78" fillId="2" borderId="0" xfId="0" applyNumberFormat="1" applyFont="1" applyFill="1" applyAlignment="1">
      <alignment vertical="center"/>
    </xf>
    <xf numFmtId="0" fontId="78" fillId="2" borderId="0" xfId="0" applyFont="1" applyFill="1" applyBorder="1" applyAlignment="1">
      <alignment vertical="center"/>
    </xf>
    <xf numFmtId="0" fontId="36" fillId="0" borderId="0" xfId="0" applyFont="1" applyAlignment="1">
      <alignment horizontal="center" vertical="center"/>
    </xf>
    <xf numFmtId="0" fontId="36" fillId="0" borderId="0" xfId="0" applyFont="1" applyBorder="1"/>
    <xf numFmtId="3" fontId="78" fillId="0" borderId="0" xfId="0" applyNumberFormat="1" applyFont="1" applyFill="1" applyBorder="1" applyAlignment="1">
      <alignment vertical="center"/>
    </xf>
    <xf numFmtId="3" fontId="36" fillId="0" borderId="0" xfId="0" applyNumberFormat="1" applyFont="1" applyBorder="1"/>
    <xf numFmtId="0" fontId="68" fillId="0" borderId="0" xfId="0" applyFont="1" applyAlignment="1">
      <alignment horizontal="center" vertical="center"/>
    </xf>
    <xf numFmtId="3" fontId="68" fillId="0" borderId="0" xfId="0" applyNumberFormat="1" applyFont="1" applyBorder="1"/>
    <xf numFmtId="0" fontId="68" fillId="0" borderId="0" xfId="0" applyFont="1" applyBorder="1"/>
    <xf numFmtId="0" fontId="36" fillId="0" borderId="0" xfId="0" applyFont="1" applyBorder="1" applyAlignment="1">
      <alignment wrapText="1"/>
    </xf>
    <xf numFmtId="0" fontId="68" fillId="0" borderId="0" xfId="0" applyFont="1" applyAlignment="1">
      <alignment horizontal="left" vertical="center"/>
    </xf>
    <xf numFmtId="0" fontId="36" fillId="0" borderId="1" xfId="0" applyFont="1" applyBorder="1" applyAlignment="1">
      <alignment horizontal="center" vertical="center"/>
    </xf>
    <xf numFmtId="0" fontId="51" fillId="0" borderId="3" xfId="0" applyFont="1" applyBorder="1" applyAlignment="1">
      <alignment wrapText="1"/>
    </xf>
    <xf numFmtId="0" fontId="36" fillId="0" borderId="3" xfId="0" applyFont="1" applyBorder="1"/>
    <xf numFmtId="0" fontId="36" fillId="0" borderId="3" xfId="0" applyFont="1" applyFill="1" applyBorder="1"/>
    <xf numFmtId="0" fontId="2" fillId="0" borderId="3" xfId="0" applyFont="1" applyBorder="1"/>
    <xf numFmtId="0" fontId="36" fillId="0" borderId="26" xfId="0" applyFont="1" applyBorder="1" applyAlignment="1">
      <alignment horizontal="center" vertical="center"/>
    </xf>
    <xf numFmtId="0" fontId="36" fillId="0" borderId="0" xfId="0" applyFont="1" applyFill="1" applyBorder="1"/>
    <xf numFmtId="0" fontId="36" fillId="0" borderId="68" xfId="0" applyFont="1" applyBorder="1" applyAlignment="1">
      <alignment horizontal="center" vertical="center"/>
    </xf>
    <xf numFmtId="0" fontId="36" fillId="0" borderId="24" xfId="0" applyFont="1" applyBorder="1"/>
    <xf numFmtId="0" fontId="36" fillId="0" borderId="24" xfId="0" applyFont="1" applyFill="1" applyBorder="1"/>
    <xf numFmtId="0" fontId="36" fillId="0" borderId="27" xfId="0" applyFont="1" applyBorder="1"/>
    <xf numFmtId="0" fontId="36" fillId="0" borderId="13" xfId="0" applyFont="1" applyBorder="1"/>
    <xf numFmtId="0" fontId="36" fillId="0" borderId="10" xfId="0" applyFont="1" applyBorder="1"/>
    <xf numFmtId="0" fontId="47" fillId="2" borderId="24" xfId="4" applyFont="1" applyFill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57" fillId="0" borderId="39" xfId="6" applyFont="1" applyBorder="1" applyAlignment="1">
      <alignment horizontal="center" vertical="center"/>
    </xf>
    <xf numFmtId="0" fontId="57" fillId="0" borderId="51" xfId="6" applyFont="1" applyBorder="1" applyAlignment="1">
      <alignment horizontal="center" vertical="center"/>
    </xf>
    <xf numFmtId="0" fontId="57" fillId="0" borderId="40" xfId="6" applyFont="1" applyBorder="1" applyAlignment="1">
      <alignment horizontal="center" vertical="center"/>
    </xf>
    <xf numFmtId="3" fontId="52" fillId="2" borderId="91" xfId="0" quotePrefix="1" applyNumberFormat="1" applyFont="1" applyFill="1" applyBorder="1" applyAlignment="1">
      <alignment horizontal="center" vertical="top"/>
    </xf>
    <xf numFmtId="3" fontId="80" fillId="0" borderId="0" xfId="0" applyNumberFormat="1" applyFont="1"/>
    <xf numFmtId="0" fontId="80" fillId="0" borderId="0" xfId="0" applyFont="1"/>
    <xf numFmtId="3" fontId="62" fillId="26" borderId="72" xfId="4" applyNumberFormat="1" applyFont="1" applyFill="1" applyBorder="1" applyAlignment="1">
      <alignment horizontal="right" vertical="center"/>
    </xf>
    <xf numFmtId="0" fontId="2" fillId="0" borderId="0" xfId="0" applyFont="1" applyFill="1"/>
    <xf numFmtId="3" fontId="35" fillId="0" borderId="35" xfId="4" applyNumberFormat="1" applyFont="1" applyFill="1" applyBorder="1" applyAlignment="1">
      <alignment horizontal="right" vertical="center"/>
    </xf>
    <xf numFmtId="3" fontId="35" fillId="0" borderId="0" xfId="4" applyNumberFormat="1" applyFont="1" applyFill="1" applyBorder="1" applyAlignment="1">
      <alignment horizontal="right" vertical="center"/>
    </xf>
    <xf numFmtId="3" fontId="35" fillId="0" borderId="51" xfId="4" applyNumberFormat="1" applyFont="1" applyFill="1" applyBorder="1" applyAlignment="1">
      <alignment horizontal="right"/>
    </xf>
    <xf numFmtId="3" fontId="35" fillId="0" borderId="39" xfId="4" applyNumberFormat="1" applyFont="1" applyFill="1" applyBorder="1" applyAlignment="1">
      <alignment horizontal="right"/>
    </xf>
    <xf numFmtId="0" fontId="55" fillId="0" borderId="11" xfId="4" applyFont="1" applyFill="1" applyBorder="1" applyAlignment="1">
      <alignment vertical="center"/>
    </xf>
    <xf numFmtId="0" fontId="55" fillId="0" borderId="25" xfId="4" applyFont="1" applyFill="1" applyBorder="1" applyAlignment="1">
      <alignment vertical="center"/>
    </xf>
    <xf numFmtId="3" fontId="35" fillId="0" borderId="39" xfId="4" applyNumberFormat="1" applyFont="1" applyFill="1" applyBorder="1" applyAlignment="1">
      <alignment horizontal="right" vertical="center"/>
    </xf>
    <xf numFmtId="3" fontId="56" fillId="23" borderId="29" xfId="4" applyNumberFormat="1" applyFont="1" applyFill="1" applyBorder="1" applyAlignment="1">
      <alignment horizontal="right" vertical="center"/>
    </xf>
    <xf numFmtId="0" fontId="63" fillId="0" borderId="38" xfId="0" applyFont="1" applyBorder="1" applyAlignment="1">
      <alignment horizontal="center" vertical="center" wrapText="1"/>
    </xf>
    <xf numFmtId="3" fontId="35" fillId="0" borderId="50" xfId="4" applyNumberFormat="1" applyFont="1" applyFill="1" applyBorder="1" applyAlignment="1">
      <alignment horizontal="right" vertical="center"/>
    </xf>
    <xf numFmtId="3" fontId="62" fillId="2" borderId="47" xfId="4" applyNumberFormat="1" applyFont="1" applyFill="1" applyBorder="1" applyAlignment="1">
      <alignment horizontal="right" vertical="center"/>
    </xf>
    <xf numFmtId="0" fontId="84" fillId="0" borderId="0" xfId="0" applyFont="1"/>
    <xf numFmtId="0" fontId="69" fillId="0" borderId="0" xfId="0" applyFont="1" applyAlignment="1">
      <alignment horizontal="center"/>
    </xf>
    <xf numFmtId="0" fontId="52" fillId="2" borderId="51" xfId="0" applyFont="1" applyFill="1" applyBorder="1" applyAlignment="1">
      <alignment horizontal="center" vertical="top"/>
    </xf>
    <xf numFmtId="0" fontId="68" fillId="2" borderId="90" xfId="0" applyFont="1" applyFill="1" applyBorder="1" applyAlignment="1">
      <alignment horizontal="center" vertical="center"/>
    </xf>
    <xf numFmtId="0" fontId="55" fillId="0" borderId="56" xfId="4" applyFont="1" applyFill="1" applyBorder="1" applyAlignment="1">
      <alignment horizontal="center" vertical="center"/>
    </xf>
    <xf numFmtId="0" fontId="55" fillId="0" borderId="11" xfId="4" applyFont="1" applyFill="1" applyBorder="1" applyAlignment="1">
      <alignment horizontal="center" vertical="center"/>
    </xf>
    <xf numFmtId="3" fontId="56" fillId="6" borderId="9" xfId="4" applyNumberFormat="1" applyFont="1" applyFill="1" applyBorder="1" applyAlignment="1">
      <alignment horizontal="right" vertical="center"/>
    </xf>
    <xf numFmtId="3" fontId="52" fillId="0" borderId="0" xfId="4" applyNumberFormat="1" applyFont="1" applyFill="1" applyBorder="1" applyAlignment="1">
      <alignment horizontal="right" vertical="center"/>
    </xf>
    <xf numFmtId="0" fontId="55" fillId="0" borderId="56" xfId="4" applyFont="1" applyFill="1" applyBorder="1" applyAlignment="1">
      <alignment vertical="center"/>
    </xf>
    <xf numFmtId="0" fontId="84" fillId="0" borderId="0" xfId="0" applyFont="1" applyFill="1"/>
    <xf numFmtId="3" fontId="84" fillId="0" borderId="0" xfId="0" applyNumberFormat="1" applyFont="1" applyFill="1"/>
    <xf numFmtId="0" fontId="69" fillId="0" borderId="30" xfId="0" applyFont="1" applyBorder="1" applyAlignment="1">
      <alignment horizontal="center" vertical="center" wrapText="1"/>
    </xf>
    <xf numFmtId="0" fontId="15" fillId="0" borderId="30" xfId="0" applyFont="1" applyBorder="1" applyAlignment="1">
      <alignment horizontal="center" vertical="center" wrapText="1"/>
    </xf>
    <xf numFmtId="3" fontId="69" fillId="37" borderId="30" xfId="0" applyNumberFormat="1" applyFont="1" applyFill="1" applyBorder="1" applyAlignment="1">
      <alignment horizontal="center" vertical="center"/>
    </xf>
    <xf numFmtId="0" fontId="69" fillId="37" borderId="30" xfId="0" applyFont="1" applyFill="1" applyBorder="1" applyAlignment="1">
      <alignment horizontal="center" vertical="center"/>
    </xf>
    <xf numFmtId="0" fontId="2" fillId="0" borderId="30" xfId="0" applyFont="1" applyBorder="1" applyAlignment="1">
      <alignment vertical="center"/>
    </xf>
    <xf numFmtId="3" fontId="2" fillId="0" borderId="30" xfId="0" applyNumberFormat="1" applyFont="1" applyBorder="1" applyAlignment="1">
      <alignment vertical="center"/>
    </xf>
    <xf numFmtId="3" fontId="69" fillId="0" borderId="0" xfId="0" applyNumberFormat="1" applyFont="1" applyAlignment="1">
      <alignment vertical="center"/>
    </xf>
    <xf numFmtId="0" fontId="69" fillId="0" borderId="30" xfId="0" applyFont="1" applyBorder="1" applyAlignment="1">
      <alignment vertical="center"/>
    </xf>
    <xf numFmtId="3" fontId="69" fillId="0" borderId="30" xfId="0" applyNumberFormat="1" applyFont="1" applyBorder="1" applyAlignment="1">
      <alignment vertical="center"/>
    </xf>
    <xf numFmtId="0" fontId="69" fillId="37" borderId="30" xfId="0" applyFont="1" applyFill="1" applyBorder="1" applyAlignment="1">
      <alignment horizontal="center"/>
    </xf>
    <xf numFmtId="0" fontId="69" fillId="13" borderId="30" xfId="0" applyFont="1" applyFill="1" applyBorder="1" applyAlignment="1">
      <alignment vertical="center" wrapText="1"/>
    </xf>
    <xf numFmtId="0" fontId="69" fillId="0" borderId="30" xfId="0" applyFont="1" applyBorder="1" applyAlignment="1">
      <alignment vertical="center" wrapText="1"/>
    </xf>
    <xf numFmtId="0" fontId="2" fillId="0" borderId="30" xfId="0" applyFont="1" applyBorder="1"/>
    <xf numFmtId="0" fontId="55" fillId="28" borderId="5" xfId="4" applyFont="1" applyFill="1" applyBorder="1" applyAlignment="1">
      <alignment vertical="center" wrapText="1"/>
    </xf>
    <xf numFmtId="3" fontId="60" fillId="28" borderId="32" xfId="4" applyNumberFormat="1" applyFont="1" applyFill="1" applyBorder="1" applyAlignment="1">
      <alignment vertical="top" wrapText="1"/>
    </xf>
    <xf numFmtId="3" fontId="60" fillId="13" borderId="32" xfId="4" applyNumberFormat="1" applyFont="1" applyFill="1" applyBorder="1" applyAlignment="1">
      <alignment vertical="top" wrapText="1"/>
    </xf>
    <xf numFmtId="0" fontId="58" fillId="13" borderId="21" xfId="4" applyFont="1" applyFill="1" applyBorder="1" applyAlignment="1">
      <alignment vertical="top"/>
    </xf>
    <xf numFmtId="0" fontId="58" fillId="57" borderId="45" xfId="4" applyFont="1" applyFill="1" applyBorder="1" applyAlignment="1">
      <alignment horizontal="left" vertical="center"/>
    </xf>
    <xf numFmtId="0" fontId="58" fillId="57" borderId="16" xfId="4" applyFont="1" applyFill="1" applyBorder="1" applyAlignment="1">
      <alignment horizontal="left" vertical="center"/>
    </xf>
    <xf numFmtId="3" fontId="58" fillId="57" borderId="17" xfId="4" applyNumberFormat="1" applyFont="1" applyFill="1" applyBorder="1" applyAlignment="1">
      <alignment horizontal="right" vertical="center"/>
    </xf>
    <xf numFmtId="0" fontId="58" fillId="57" borderId="67" xfId="4" applyFont="1" applyFill="1" applyBorder="1" applyAlignment="1">
      <alignment horizontal="left" vertical="center"/>
    </xf>
    <xf numFmtId="0" fontId="58" fillId="57" borderId="6" xfId="4" applyFont="1" applyFill="1" applyBorder="1" applyAlignment="1">
      <alignment horizontal="left" vertical="center"/>
    </xf>
    <xf numFmtId="3" fontId="58" fillId="57" borderId="27" xfId="4" applyNumberFormat="1" applyFont="1" applyFill="1" applyBorder="1" applyAlignment="1">
      <alignment horizontal="right" vertical="center"/>
    </xf>
    <xf numFmtId="0" fontId="58" fillId="57" borderId="67" xfId="0" applyFont="1" applyFill="1" applyBorder="1" applyAlignment="1">
      <alignment horizontal="left" vertical="top"/>
    </xf>
    <xf numFmtId="0" fontId="59" fillId="57" borderId="6" xfId="0" quotePrefix="1" applyFont="1" applyFill="1" applyBorder="1" applyAlignment="1">
      <alignment horizontal="center" vertical="top"/>
    </xf>
    <xf numFmtId="3" fontId="58" fillId="57" borderId="27" xfId="0" quotePrefix="1" applyNumberFormat="1" applyFont="1" applyFill="1" applyBorder="1" applyAlignment="1">
      <alignment horizontal="right" vertical="top"/>
    </xf>
    <xf numFmtId="0" fontId="58" fillId="57" borderId="34" xfId="4" applyFont="1" applyFill="1" applyBorder="1" applyAlignment="1">
      <alignment horizontal="left" vertical="center"/>
    </xf>
    <xf numFmtId="3" fontId="58" fillId="57" borderId="29" xfId="4" applyNumberFormat="1" applyFont="1" applyFill="1" applyBorder="1" applyAlignment="1">
      <alignment horizontal="right" vertical="center"/>
    </xf>
    <xf numFmtId="0" fontId="66" fillId="57" borderId="67" xfId="4" applyFont="1" applyFill="1" applyBorder="1" applyAlignment="1">
      <alignment horizontal="left" vertical="center"/>
    </xf>
    <xf numFmtId="3" fontId="66" fillId="57" borderId="6" xfId="4" applyNumberFormat="1" applyFont="1" applyFill="1" applyBorder="1" applyAlignment="1">
      <alignment horizontal="left" vertical="center"/>
    </xf>
    <xf numFmtId="3" fontId="66" fillId="57" borderId="27" xfId="4" applyNumberFormat="1" applyFont="1" applyFill="1" applyBorder="1" applyAlignment="1">
      <alignment horizontal="right" vertical="center"/>
    </xf>
    <xf numFmtId="0" fontId="66" fillId="57" borderId="46" xfId="0" applyFont="1" applyFill="1" applyBorder="1" applyAlignment="1">
      <alignment horizontal="left" vertical="top"/>
    </xf>
    <xf numFmtId="0" fontId="44" fillId="57" borderId="20" xfId="0" quotePrefix="1" applyFont="1" applyFill="1" applyBorder="1" applyAlignment="1">
      <alignment horizontal="center" vertical="top"/>
    </xf>
    <xf numFmtId="3" fontId="66" fillId="57" borderId="9" xfId="0" quotePrefix="1" applyNumberFormat="1" applyFont="1" applyFill="1" applyBorder="1" applyAlignment="1">
      <alignment horizontal="right" vertical="top"/>
    </xf>
    <xf numFmtId="0" fontId="59" fillId="57" borderId="22" xfId="0" quotePrefix="1" applyFont="1" applyFill="1" applyBorder="1" applyAlignment="1">
      <alignment horizontal="center" vertical="top"/>
    </xf>
    <xf numFmtId="0" fontId="58" fillId="57" borderId="36" xfId="4" applyFont="1" applyFill="1" applyBorder="1" applyAlignment="1">
      <alignment horizontal="left" vertical="center"/>
    </xf>
    <xf numFmtId="0" fontId="58" fillId="57" borderId="20" xfId="4" applyFont="1" applyFill="1" applyBorder="1" applyAlignment="1">
      <alignment horizontal="left" vertical="center"/>
    </xf>
    <xf numFmtId="3" fontId="58" fillId="57" borderId="9" xfId="4" applyNumberFormat="1" applyFont="1" applyFill="1" applyBorder="1" applyAlignment="1">
      <alignment horizontal="right" vertical="center"/>
    </xf>
    <xf numFmtId="0" fontId="58" fillId="57" borderId="46" xfId="0" applyFont="1" applyFill="1" applyBorder="1" applyAlignment="1">
      <alignment horizontal="left" vertical="top"/>
    </xf>
    <xf numFmtId="0" fontId="58" fillId="57" borderId="8" xfId="4" applyFont="1" applyFill="1" applyBorder="1" applyAlignment="1">
      <alignment horizontal="left" vertical="center"/>
    </xf>
    <xf numFmtId="3" fontId="58" fillId="57" borderId="20" xfId="4" applyNumberFormat="1" applyFont="1" applyFill="1" applyBorder="1" applyAlignment="1">
      <alignment horizontal="right" vertical="center"/>
    </xf>
    <xf numFmtId="0" fontId="58" fillId="57" borderId="0" xfId="4" applyFont="1" applyFill="1" applyBorder="1" applyAlignment="1">
      <alignment horizontal="left" vertical="center"/>
    </xf>
    <xf numFmtId="3" fontId="58" fillId="57" borderId="6" xfId="4" applyNumberFormat="1" applyFont="1" applyFill="1" applyBorder="1" applyAlignment="1">
      <alignment horizontal="right" vertical="center"/>
    </xf>
    <xf numFmtId="0" fontId="58" fillId="57" borderId="68" xfId="0" applyFont="1" applyFill="1" applyBorder="1" applyAlignment="1">
      <alignment horizontal="left" vertical="top"/>
    </xf>
    <xf numFmtId="3" fontId="58" fillId="57" borderId="22" xfId="0" quotePrefix="1" applyNumberFormat="1" applyFont="1" applyFill="1" applyBorder="1" applyAlignment="1">
      <alignment horizontal="right" vertical="top"/>
    </xf>
    <xf numFmtId="3" fontId="58" fillId="57" borderId="23" xfId="0" quotePrefix="1" applyNumberFormat="1" applyFont="1" applyFill="1" applyBorder="1" applyAlignment="1">
      <alignment horizontal="right" vertical="top"/>
    </xf>
    <xf numFmtId="3" fontId="49" fillId="8" borderId="67" xfId="4" applyNumberFormat="1" applyFont="1" applyFill="1" applyBorder="1" applyAlignment="1">
      <alignment vertical="top" wrapText="1"/>
    </xf>
    <xf numFmtId="0" fontId="58" fillId="57" borderId="11" xfId="4" applyFont="1" applyFill="1" applyBorder="1" applyAlignment="1">
      <alignment horizontal="left" vertical="center"/>
    </xf>
    <xf numFmtId="0" fontId="58" fillId="57" borderId="25" xfId="0" applyFont="1" applyFill="1" applyBorder="1" applyAlignment="1">
      <alignment horizontal="left" vertical="top"/>
    </xf>
    <xf numFmtId="3" fontId="56" fillId="6" borderId="30" xfId="0" applyNumberFormat="1" applyFont="1" applyFill="1" applyBorder="1" applyAlignment="1"/>
    <xf numFmtId="3" fontId="60" fillId="2" borderId="32" xfId="4" applyNumberFormat="1" applyFont="1" applyFill="1" applyBorder="1" applyAlignment="1">
      <alignment vertical="center" wrapText="1"/>
    </xf>
    <xf numFmtId="3" fontId="58" fillId="2" borderId="30" xfId="0" applyNumberFormat="1" applyFont="1" applyFill="1" applyBorder="1" applyAlignment="1"/>
    <xf numFmtId="0" fontId="35" fillId="0" borderId="21" xfId="0" applyFont="1" applyFill="1" applyBorder="1" applyAlignment="1">
      <alignment vertical="center"/>
    </xf>
    <xf numFmtId="0" fontId="35" fillId="0" borderId="32" xfId="0" applyFont="1" applyFill="1" applyBorder="1" applyAlignment="1">
      <alignment vertical="center" wrapText="1"/>
    </xf>
    <xf numFmtId="3" fontId="62" fillId="0" borderId="13" xfId="0" applyNumberFormat="1" applyFont="1" applyFill="1" applyBorder="1" applyAlignment="1">
      <alignment vertical="top"/>
    </xf>
    <xf numFmtId="0" fontId="0" fillId="0" borderId="30" xfId="0" applyFont="1" applyBorder="1"/>
    <xf numFmtId="0" fontId="0" fillId="0" borderId="0" xfId="0" applyFont="1" applyBorder="1" applyAlignment="1">
      <alignment horizontal="center" vertical="center"/>
    </xf>
    <xf numFmtId="0" fontId="0" fillId="0" borderId="24" xfId="0" applyFont="1" applyBorder="1" applyAlignment="1">
      <alignment vertical="center"/>
    </xf>
    <xf numFmtId="0" fontId="58" fillId="0" borderId="36" xfId="4" applyFont="1" applyFill="1" applyBorder="1" applyAlignment="1">
      <alignment vertical="center"/>
    </xf>
    <xf numFmtId="3" fontId="62" fillId="0" borderId="29" xfId="0" applyNumberFormat="1" applyFont="1" applyFill="1" applyBorder="1" applyAlignment="1">
      <alignment vertical="center"/>
    </xf>
    <xf numFmtId="3" fontId="56" fillId="0" borderId="29" xfId="0" applyNumberFormat="1" applyFont="1" applyFill="1" applyBorder="1" applyAlignment="1">
      <alignment vertical="center"/>
    </xf>
    <xf numFmtId="0" fontId="3" fillId="16" borderId="42" xfId="0" applyFont="1" applyFill="1" applyBorder="1"/>
    <xf numFmtId="3" fontId="3" fillId="8" borderId="49" xfId="0" applyNumberFormat="1" applyFont="1" applyFill="1" applyBorder="1"/>
    <xf numFmtId="3" fontId="3" fillId="8" borderId="82" xfId="0" applyNumberFormat="1" applyFont="1" applyFill="1" applyBorder="1"/>
    <xf numFmtId="3" fontId="3" fillId="8" borderId="48" xfId="0" applyNumberFormat="1" applyFont="1" applyFill="1" applyBorder="1"/>
    <xf numFmtId="3" fontId="38" fillId="17" borderId="43" xfId="0" applyNumberFormat="1" applyFont="1" applyFill="1" applyBorder="1"/>
    <xf numFmtId="3" fontId="38" fillId="8" borderId="43" xfId="0" applyNumberFormat="1" applyFont="1" applyFill="1" applyBorder="1"/>
    <xf numFmtId="3" fontId="13" fillId="8" borderId="43" xfId="0" applyNumberFormat="1" applyFont="1" applyFill="1" applyBorder="1"/>
    <xf numFmtId="3" fontId="13" fillId="16" borderId="40" xfId="5" applyNumberFormat="1" applyFont="1" applyFill="1" applyBorder="1"/>
    <xf numFmtId="3" fontId="3" fillId="8" borderId="44" xfId="0" applyNumberFormat="1" applyFont="1" applyFill="1" applyBorder="1"/>
    <xf numFmtId="3" fontId="23" fillId="17" borderId="43" xfId="0" applyNumberFormat="1" applyFont="1" applyFill="1" applyBorder="1"/>
    <xf numFmtId="0" fontId="23" fillId="0" borderId="82" xfId="0" applyFont="1" applyBorder="1" applyAlignment="1">
      <alignment horizontal="center" vertical="center"/>
    </xf>
    <xf numFmtId="3" fontId="19" fillId="11" borderId="44" xfId="0" applyNumberFormat="1" applyFont="1" applyFill="1" applyBorder="1"/>
    <xf numFmtId="3" fontId="19" fillId="11" borderId="49" xfId="0" applyNumberFormat="1" applyFont="1" applyFill="1" applyBorder="1"/>
    <xf numFmtId="3" fontId="19" fillId="11" borderId="48" xfId="0" applyNumberFormat="1" applyFont="1" applyFill="1" applyBorder="1"/>
    <xf numFmtId="3" fontId="37" fillId="18" borderId="40" xfId="0" applyNumberFormat="1" applyFont="1" applyFill="1" applyBorder="1" applyAlignment="1">
      <alignment vertical="top"/>
    </xf>
    <xf numFmtId="3" fontId="37" fillId="2" borderId="43" xfId="0" applyNumberFormat="1" applyFont="1" applyFill="1" applyBorder="1" applyAlignment="1">
      <alignment vertical="top"/>
    </xf>
    <xf numFmtId="3" fontId="14" fillId="18" borderId="40" xfId="0" applyNumberFormat="1" applyFont="1" applyFill="1" applyBorder="1"/>
    <xf numFmtId="3" fontId="3" fillId="18" borderId="41" xfId="0" applyNumberFormat="1" applyFont="1" applyFill="1" applyBorder="1"/>
    <xf numFmtId="0" fontId="3" fillId="0" borderId="43" xfId="0" applyFont="1" applyBorder="1"/>
    <xf numFmtId="3" fontId="37" fillId="0" borderId="43" xfId="0" applyNumberFormat="1" applyFont="1" applyBorder="1"/>
    <xf numFmtId="3" fontId="3" fillId="0" borderId="41" xfId="0" applyNumberFormat="1" applyFont="1" applyBorder="1"/>
    <xf numFmtId="0" fontId="0" fillId="0" borderId="0" xfId="0" applyFont="1" applyBorder="1" applyAlignment="1">
      <alignment horizontal="center" vertical="center" wrapText="1"/>
    </xf>
    <xf numFmtId="3" fontId="0" fillId="0" borderId="0" xfId="0" applyNumberFormat="1" applyFont="1"/>
    <xf numFmtId="3" fontId="60" fillId="8" borderId="34" xfId="4" applyNumberFormat="1" applyFont="1" applyFill="1" applyBorder="1" applyAlignment="1">
      <alignment vertical="top" wrapText="1"/>
    </xf>
    <xf numFmtId="3" fontId="60" fillId="8" borderId="28" xfId="4" applyNumberFormat="1" applyFont="1" applyFill="1" applyBorder="1" applyAlignment="1">
      <alignment vertical="top" wrapText="1"/>
    </xf>
    <xf numFmtId="0" fontId="60" fillId="8" borderId="34" xfId="4" applyFont="1" applyFill="1" applyBorder="1" applyAlignment="1">
      <alignment vertical="top"/>
    </xf>
    <xf numFmtId="3" fontId="64" fillId="8" borderId="29" xfId="6" applyNumberFormat="1" applyFont="1" applyFill="1" applyBorder="1" applyAlignment="1">
      <alignment vertical="center"/>
    </xf>
    <xf numFmtId="3" fontId="62" fillId="6" borderId="28" xfId="0" applyNumberFormat="1" applyFont="1" applyFill="1" applyBorder="1" applyAlignment="1">
      <alignment vertical="top"/>
    </xf>
    <xf numFmtId="3" fontId="58" fillId="2" borderId="30" xfId="0" applyNumberFormat="1" applyFont="1" applyFill="1" applyBorder="1" applyAlignment="1">
      <alignment vertical="top"/>
    </xf>
    <xf numFmtId="0" fontId="58" fillId="2" borderId="84" xfId="4" applyFont="1" applyFill="1" applyBorder="1" applyAlignment="1">
      <alignment vertical="top"/>
    </xf>
    <xf numFmtId="0" fontId="62" fillId="0" borderId="86" xfId="0" applyFont="1" applyFill="1" applyBorder="1" applyAlignment="1">
      <alignment horizontal="left" vertical="center" wrapText="1"/>
    </xf>
    <xf numFmtId="0" fontId="62" fillId="0" borderId="87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/>
    </xf>
    <xf numFmtId="3" fontId="0" fillId="0" borderId="30" xfId="0" applyNumberFormat="1" applyFont="1" applyBorder="1"/>
    <xf numFmtId="0" fontId="62" fillId="8" borderId="47" xfId="4" applyFont="1" applyFill="1" applyBorder="1" applyAlignment="1">
      <alignment vertical="center"/>
    </xf>
    <xf numFmtId="3" fontId="55" fillId="6" borderId="35" xfId="4" applyNumberFormat="1" applyFont="1" applyFill="1" applyBorder="1" applyAlignment="1">
      <alignment vertical="center"/>
    </xf>
    <xf numFmtId="3" fontId="56" fillId="6" borderId="30" xfId="4" applyNumberFormat="1" applyFont="1" applyFill="1" applyBorder="1" applyAlignment="1">
      <alignment vertical="center"/>
    </xf>
    <xf numFmtId="3" fontId="62" fillId="0" borderId="27" xfId="4" applyNumberFormat="1" applyFont="1" applyFill="1" applyBorder="1" applyAlignment="1">
      <alignment horizontal="right" vertical="center"/>
    </xf>
    <xf numFmtId="43" fontId="60" fillId="0" borderId="30" xfId="1" applyFont="1" applyFill="1" applyBorder="1" applyAlignment="1">
      <alignment horizontal="right" vertical="center"/>
    </xf>
    <xf numFmtId="43" fontId="35" fillId="0" borderId="30" xfId="1" applyFont="1" applyFill="1" applyBorder="1" applyAlignment="1">
      <alignment horizontal="right" vertical="center"/>
    </xf>
    <xf numFmtId="43" fontId="55" fillId="6" borderId="35" xfId="1" applyFont="1" applyFill="1" applyBorder="1" applyAlignment="1">
      <alignment vertical="center"/>
    </xf>
    <xf numFmtId="0" fontId="63" fillId="0" borderId="6" xfId="0" applyFont="1" applyBorder="1" applyAlignment="1">
      <alignment vertical="center" wrapText="1"/>
    </xf>
    <xf numFmtId="3" fontId="62" fillId="0" borderId="9" xfId="4" applyNumberFormat="1" applyFont="1" applyFill="1" applyBorder="1" applyAlignment="1">
      <alignment horizontal="right" vertical="center"/>
    </xf>
    <xf numFmtId="0" fontId="48" fillId="0" borderId="0" xfId="112" applyFont="1" applyAlignment="1">
      <alignment vertical="top"/>
    </xf>
    <xf numFmtId="0" fontId="49" fillId="0" borderId="0" xfId="112" applyFont="1" applyAlignment="1">
      <alignment vertical="top"/>
    </xf>
    <xf numFmtId="0" fontId="59" fillId="0" borderId="0" xfId="112" applyFont="1" applyFill="1" applyAlignment="1"/>
    <xf numFmtId="0" fontId="42" fillId="0" borderId="0" xfId="112" applyFont="1" applyFill="1" applyAlignment="1"/>
    <xf numFmtId="0" fontId="45" fillId="2" borderId="0" xfId="113" applyFont="1" applyFill="1" applyBorder="1" applyAlignment="1">
      <alignment horizontal="right" vertical="center"/>
    </xf>
    <xf numFmtId="0" fontId="46" fillId="2" borderId="0" xfId="112" applyFont="1" applyFill="1" applyBorder="1" applyAlignment="1">
      <alignment horizontal="right" vertical="center"/>
    </xf>
    <xf numFmtId="0" fontId="59" fillId="0" borderId="0" xfId="112" applyFont="1" applyFill="1" applyAlignment="1">
      <alignment horizontal="left"/>
    </xf>
    <xf numFmtId="0" fontId="52" fillId="0" borderId="0" xfId="112" applyFont="1" applyAlignment="1">
      <alignment vertical="top"/>
    </xf>
    <xf numFmtId="0" fontId="51" fillId="2" borderId="5" xfId="112" applyFont="1" applyFill="1" applyBorder="1" applyAlignment="1">
      <alignment horizontal="center" vertical="top"/>
    </xf>
    <xf numFmtId="0" fontId="51" fillId="2" borderId="11" xfId="112" applyFont="1" applyFill="1" applyBorder="1" applyAlignment="1">
      <alignment horizontal="center" vertical="top"/>
    </xf>
    <xf numFmtId="0" fontId="57" fillId="0" borderId="12" xfId="112" applyFont="1" applyBorder="1" applyAlignment="1">
      <alignment horizontal="center" vertical="center" wrapText="1"/>
    </xf>
    <xf numFmtId="0" fontId="48" fillId="0" borderId="12" xfId="112" applyFont="1" applyBorder="1" applyAlignment="1">
      <alignment horizontal="center" vertical="center"/>
    </xf>
    <xf numFmtId="0" fontId="57" fillId="0" borderId="12" xfId="114" applyFont="1" applyBorder="1" applyAlignment="1">
      <alignment horizontal="center" vertical="center"/>
    </xf>
    <xf numFmtId="0" fontId="52" fillId="0" borderId="37" xfId="112" applyFont="1" applyBorder="1" applyAlignment="1">
      <alignment horizontal="center" vertical="top"/>
    </xf>
    <xf numFmtId="0" fontId="52" fillId="0" borderId="47" xfId="112" applyFont="1" applyBorder="1" applyAlignment="1">
      <alignment horizontal="center" vertical="top"/>
    </xf>
    <xf numFmtId="0" fontId="52" fillId="0" borderId="47" xfId="112" quotePrefix="1" applyFont="1" applyBorder="1" applyAlignment="1">
      <alignment horizontal="center" vertical="top"/>
    </xf>
    <xf numFmtId="0" fontId="52" fillId="2" borderId="47" xfId="112" applyFont="1" applyFill="1" applyBorder="1" applyAlignment="1">
      <alignment horizontal="center" vertical="top"/>
    </xf>
    <xf numFmtId="0" fontId="52" fillId="2" borderId="47" xfId="112" quotePrefix="1" applyFont="1" applyFill="1" applyBorder="1" applyAlignment="1">
      <alignment horizontal="center" vertical="top"/>
    </xf>
    <xf numFmtId="0" fontId="52" fillId="27" borderId="75" xfId="112" quotePrefix="1" applyFont="1" applyFill="1" applyBorder="1" applyAlignment="1">
      <alignment horizontal="center" vertical="top"/>
    </xf>
    <xf numFmtId="0" fontId="52" fillId="2" borderId="48" xfId="112" quotePrefix="1" applyFont="1" applyFill="1" applyBorder="1" applyAlignment="1">
      <alignment horizontal="center" vertical="top"/>
    </xf>
    <xf numFmtId="0" fontId="58" fillId="57" borderId="19" xfId="4" applyFont="1" applyFill="1" applyBorder="1" applyAlignment="1">
      <alignment horizontal="left" vertical="center"/>
    </xf>
    <xf numFmtId="0" fontId="58" fillId="57" borderId="25" xfId="112" applyFont="1" applyFill="1" applyBorder="1" applyAlignment="1">
      <alignment horizontal="left" vertical="top"/>
    </xf>
    <xf numFmtId="0" fontId="59" fillId="57" borderId="22" xfId="112" quotePrefix="1" applyFont="1" applyFill="1" applyBorder="1" applyAlignment="1">
      <alignment horizontal="center" vertical="top"/>
    </xf>
    <xf numFmtId="3" fontId="58" fillId="57" borderId="23" xfId="112" quotePrefix="1" applyNumberFormat="1" applyFont="1" applyFill="1" applyBorder="1" applyAlignment="1">
      <alignment horizontal="right" vertical="top"/>
    </xf>
    <xf numFmtId="3" fontId="60" fillId="26" borderId="30" xfId="4" applyNumberFormat="1" applyFont="1" applyFill="1" applyBorder="1" applyAlignment="1">
      <alignment horizontal="right" vertical="center"/>
    </xf>
    <xf numFmtId="3" fontId="58" fillId="8" borderId="30" xfId="112" applyNumberFormat="1" applyFont="1" applyFill="1" applyBorder="1" applyAlignment="1">
      <alignment vertical="top"/>
    </xf>
    <xf numFmtId="3" fontId="58" fillId="24" borderId="30" xfId="112" applyNumberFormat="1" applyFont="1" applyFill="1" applyBorder="1" applyAlignment="1">
      <alignment vertical="top"/>
    </xf>
    <xf numFmtId="3" fontId="62" fillId="8" borderId="30" xfId="112" applyNumberFormat="1" applyFont="1" applyFill="1" applyBorder="1" applyAlignment="1">
      <alignment vertical="top"/>
    </xf>
    <xf numFmtId="3" fontId="63" fillId="8" borderId="29" xfId="114" applyNumberFormat="1" applyFont="1" applyFill="1" applyBorder="1" applyAlignment="1">
      <alignment vertical="center"/>
    </xf>
    <xf numFmtId="0" fontId="48" fillId="8" borderId="11" xfId="4" applyFont="1" applyFill="1" applyBorder="1" applyAlignment="1">
      <alignment horizontal="center" vertical="center"/>
    </xf>
    <xf numFmtId="0" fontId="58" fillId="8" borderId="34" xfId="4" applyFont="1" applyFill="1" applyBorder="1" applyAlignment="1">
      <alignment vertical="center"/>
    </xf>
    <xf numFmtId="0" fontId="58" fillId="8" borderId="28" xfId="4" applyFont="1" applyFill="1" applyBorder="1" applyAlignment="1">
      <alignment vertical="center"/>
    </xf>
    <xf numFmtId="3" fontId="64" fillId="8" borderId="29" xfId="114" applyNumberFormat="1" applyFont="1" applyFill="1" applyBorder="1" applyAlignment="1">
      <alignment vertical="center"/>
    </xf>
    <xf numFmtId="0" fontId="49" fillId="8" borderId="43" xfId="4" applyFont="1" applyFill="1" applyBorder="1" applyAlignment="1">
      <alignment horizontal="center" vertical="center"/>
    </xf>
    <xf numFmtId="3" fontId="62" fillId="8" borderId="47" xfId="112" applyNumberFormat="1" applyFont="1" applyFill="1" applyBorder="1" applyAlignment="1">
      <alignment vertical="top"/>
    </xf>
    <xf numFmtId="0" fontId="55" fillId="8" borderId="19" xfId="112" applyFont="1" applyFill="1" applyBorder="1" applyAlignment="1">
      <alignment vertical="center" wrapText="1"/>
    </xf>
    <xf numFmtId="0" fontId="55" fillId="8" borderId="14" xfId="112" applyFont="1" applyFill="1" applyBorder="1" applyAlignment="1">
      <alignment horizontal="center" vertical="center" wrapText="1"/>
    </xf>
    <xf numFmtId="0" fontId="35" fillId="8" borderId="3" xfId="112" applyFont="1" applyFill="1" applyBorder="1" applyAlignment="1">
      <alignment vertical="top"/>
    </xf>
    <xf numFmtId="0" fontId="35" fillId="8" borderId="70" xfId="112" applyFont="1" applyFill="1" applyBorder="1" applyAlignment="1">
      <alignment vertical="top"/>
    </xf>
    <xf numFmtId="0" fontId="35" fillId="8" borderId="79" xfId="112" applyFont="1" applyFill="1" applyBorder="1" applyAlignment="1">
      <alignment vertical="top"/>
    </xf>
    <xf numFmtId="3" fontId="35" fillId="8" borderId="79" xfId="112" applyNumberFormat="1" applyFont="1" applyFill="1" applyBorder="1" applyAlignment="1">
      <alignment vertical="top"/>
    </xf>
    <xf numFmtId="3" fontId="35" fillId="24" borderId="70" xfId="112" applyNumberFormat="1" applyFont="1" applyFill="1" applyBorder="1" applyAlignment="1">
      <alignment vertical="top"/>
    </xf>
    <xf numFmtId="3" fontId="60" fillId="0" borderId="65" xfId="4" applyNumberFormat="1" applyFont="1" applyFill="1" applyBorder="1" applyAlignment="1">
      <alignment horizontal="right" vertical="center"/>
    </xf>
    <xf numFmtId="3" fontId="64" fillId="0" borderId="30" xfId="114" applyNumberFormat="1" applyFont="1" applyFill="1" applyBorder="1" applyAlignment="1">
      <alignment vertical="center"/>
    </xf>
    <xf numFmtId="3" fontId="35" fillId="0" borderId="30" xfId="112" applyNumberFormat="1" applyFont="1" applyFill="1" applyBorder="1" applyAlignment="1">
      <alignment vertical="center"/>
    </xf>
    <xf numFmtId="3" fontId="62" fillId="0" borderId="30" xfId="112" applyNumberFormat="1" applyFont="1" applyFill="1" applyBorder="1" applyAlignment="1">
      <alignment vertical="center"/>
    </xf>
    <xf numFmtId="3" fontId="35" fillId="0" borderId="35" xfId="112" applyNumberFormat="1" applyFont="1" applyFill="1" applyBorder="1" applyAlignment="1">
      <alignment vertical="center"/>
    </xf>
    <xf numFmtId="3" fontId="64" fillId="0" borderId="29" xfId="114" applyNumberFormat="1" applyFont="1" applyFill="1" applyBorder="1" applyAlignment="1">
      <alignment vertical="center"/>
    </xf>
    <xf numFmtId="0" fontId="2" fillId="0" borderId="0" xfId="112" applyFont="1" applyBorder="1"/>
    <xf numFmtId="0" fontId="2" fillId="0" borderId="24" xfId="112" applyFont="1" applyBorder="1"/>
    <xf numFmtId="3" fontId="62" fillId="0" borderId="47" xfId="112" applyNumberFormat="1" applyFont="1" applyFill="1" applyBorder="1" applyAlignment="1">
      <alignment vertical="center"/>
    </xf>
    <xf numFmtId="3" fontId="63" fillId="0" borderId="30" xfId="114" applyNumberFormat="1" applyFont="1" applyFill="1" applyBorder="1" applyAlignment="1">
      <alignment vertical="center"/>
    </xf>
    <xf numFmtId="3" fontId="64" fillId="0" borderId="9" xfId="114" applyNumberFormat="1" applyFont="1" applyFill="1" applyBorder="1" applyAlignment="1">
      <alignment vertical="center"/>
    </xf>
    <xf numFmtId="0" fontId="49" fillId="0" borderId="0" xfId="112" applyFont="1" applyBorder="1" applyAlignment="1">
      <alignment vertical="top"/>
    </xf>
    <xf numFmtId="0" fontId="49" fillId="0" borderId="0" xfId="112" applyFont="1" applyBorder="1" applyAlignment="1">
      <alignment horizontal="center" vertical="top" wrapText="1"/>
    </xf>
    <xf numFmtId="0" fontId="49" fillId="0" borderId="67" xfId="112" applyFont="1" applyBorder="1" applyAlignment="1">
      <alignment vertical="top"/>
    </xf>
    <xf numFmtId="0" fontId="49" fillId="0" borderId="0" xfId="112" applyFont="1" applyAlignment="1">
      <alignment horizontal="center" vertical="top" wrapText="1"/>
    </xf>
    <xf numFmtId="0" fontId="61" fillId="8" borderId="5" xfId="0" applyFont="1" applyFill="1" applyBorder="1" applyAlignment="1">
      <alignment vertical="top"/>
    </xf>
    <xf numFmtId="0" fontId="48" fillId="8" borderId="6" xfId="4" applyFont="1" applyFill="1" applyBorder="1" applyAlignment="1">
      <alignment horizontal="center" vertical="top" wrapText="1"/>
    </xf>
    <xf numFmtId="0" fontId="14" fillId="0" borderId="13" xfId="4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109" fillId="0" borderId="12" xfId="0" applyFont="1" applyBorder="1" applyAlignment="1">
      <alignment horizontal="center" vertical="center" wrapText="1"/>
    </xf>
    <xf numFmtId="0" fontId="111" fillId="0" borderId="12" xfId="4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110" fillId="59" borderId="12" xfId="0" applyFont="1" applyFill="1" applyBorder="1" applyAlignment="1">
      <alignment horizontal="center" vertical="center"/>
    </xf>
    <xf numFmtId="3" fontId="62" fillId="2" borderId="9" xfId="4" applyNumberFormat="1" applyFont="1" applyFill="1" applyBorder="1" applyAlignment="1">
      <alignment horizontal="right" vertical="center"/>
    </xf>
    <xf numFmtId="3" fontId="55" fillId="8" borderId="3" xfId="4" applyNumberFormat="1" applyFont="1" applyFill="1" applyBorder="1" applyAlignment="1">
      <alignment horizontal="right" vertical="center"/>
    </xf>
    <xf numFmtId="3" fontId="62" fillId="0" borderId="72" xfId="4" applyNumberFormat="1" applyFont="1" applyFill="1" applyBorder="1" applyAlignment="1">
      <alignment horizontal="right" vertical="center"/>
    </xf>
    <xf numFmtId="3" fontId="62" fillId="2" borderId="72" xfId="4" applyNumberFormat="1" applyFont="1" applyFill="1" applyBorder="1" applyAlignment="1">
      <alignment horizontal="right" vertical="center"/>
    </xf>
    <xf numFmtId="3" fontId="62" fillId="0" borderId="76" xfId="4" applyNumberFormat="1" applyFont="1" applyFill="1" applyBorder="1" applyAlignment="1">
      <alignment horizontal="right" vertical="center"/>
    </xf>
    <xf numFmtId="3" fontId="62" fillId="0" borderId="13" xfId="4" applyNumberFormat="1" applyFont="1" applyFill="1" applyBorder="1" applyAlignment="1">
      <alignment horizontal="right" vertical="center"/>
    </xf>
    <xf numFmtId="3" fontId="56" fillId="23" borderId="71" xfId="4" applyNumberFormat="1" applyFont="1" applyFill="1" applyBorder="1" applyAlignment="1">
      <alignment horizontal="right" vertical="center"/>
    </xf>
    <xf numFmtId="3" fontId="58" fillId="26" borderId="31" xfId="4" applyNumberFormat="1" applyFont="1" applyFill="1" applyBorder="1" applyAlignment="1">
      <alignment horizontal="right" vertical="center"/>
    </xf>
    <xf numFmtId="3" fontId="62" fillId="26" borderId="64" xfId="4" applyNumberFormat="1" applyFont="1" applyFill="1" applyBorder="1" applyAlignment="1">
      <alignment horizontal="right" vertical="center"/>
    </xf>
    <xf numFmtId="3" fontId="55" fillId="8" borderId="2" xfId="0" applyNumberFormat="1" applyFont="1" applyFill="1" applyBorder="1" applyAlignment="1">
      <alignment vertical="center"/>
    </xf>
    <xf numFmtId="3" fontId="56" fillId="6" borderId="0" xfId="4" applyNumberFormat="1" applyFont="1" applyFill="1" applyBorder="1" applyAlignment="1">
      <alignment horizontal="right" vertical="center"/>
    </xf>
    <xf numFmtId="3" fontId="58" fillId="0" borderId="0" xfId="4" applyNumberFormat="1" applyFont="1" applyFill="1" applyBorder="1" applyAlignment="1">
      <alignment horizontal="right" vertical="center"/>
    </xf>
    <xf numFmtId="3" fontId="62" fillId="0" borderId="0" xfId="4" applyNumberFormat="1" applyFont="1" applyFill="1" applyBorder="1" applyAlignment="1">
      <alignment horizontal="right" vertical="center"/>
    </xf>
    <xf numFmtId="3" fontId="64" fillId="0" borderId="0" xfId="6" applyNumberFormat="1" applyFont="1" applyFill="1" applyBorder="1" applyAlignment="1">
      <alignment vertical="center"/>
    </xf>
    <xf numFmtId="3" fontId="56" fillId="8" borderId="10" xfId="4" applyNumberFormat="1" applyFont="1" applyFill="1" applyBorder="1" applyAlignment="1">
      <alignment horizontal="right" vertical="center"/>
    </xf>
    <xf numFmtId="3" fontId="58" fillId="0" borderId="0" xfId="4" applyNumberFormat="1" applyFont="1" applyFill="1" applyBorder="1" applyAlignment="1"/>
    <xf numFmtId="3" fontId="53" fillId="8" borderId="27" xfId="6" applyNumberFormat="1" applyFont="1" applyFill="1" applyBorder="1" applyAlignment="1">
      <alignment vertical="center"/>
    </xf>
    <xf numFmtId="3" fontId="56" fillId="6" borderId="8" xfId="4" applyNumberFormat="1" applyFont="1" applyFill="1" applyBorder="1" applyAlignment="1">
      <alignment horizontal="right" vertical="center"/>
    </xf>
    <xf numFmtId="3" fontId="35" fillId="0" borderId="64" xfId="4" applyNumberFormat="1" applyFont="1" applyFill="1" applyBorder="1" applyAlignment="1">
      <alignment horizontal="right" vertical="center"/>
    </xf>
    <xf numFmtId="0" fontId="54" fillId="0" borderId="12" xfId="6" applyFont="1" applyBorder="1" applyAlignment="1">
      <alignment horizontal="center" vertical="center"/>
    </xf>
    <xf numFmtId="3" fontId="62" fillId="0" borderId="65" xfId="4" applyNumberFormat="1" applyFont="1" applyFill="1" applyBorder="1" applyAlignment="1">
      <alignment vertical="center"/>
    </xf>
    <xf numFmtId="3" fontId="55" fillId="23" borderId="29" xfId="4" applyNumberFormat="1" applyFont="1" applyFill="1" applyBorder="1" applyAlignment="1">
      <alignment horizontal="right" vertical="center"/>
    </xf>
    <xf numFmtId="3" fontId="63" fillId="8" borderId="72" xfId="6" applyNumberFormat="1" applyFont="1" applyFill="1" applyBorder="1" applyAlignment="1">
      <alignment vertical="center"/>
    </xf>
    <xf numFmtId="0" fontId="0" fillId="0" borderId="30" xfId="0" applyFont="1" applyBorder="1" applyAlignment="1">
      <alignment vertical="center"/>
    </xf>
    <xf numFmtId="0" fontId="53" fillId="0" borderId="70" xfId="6" applyFont="1" applyBorder="1" applyAlignment="1">
      <alignment horizontal="center" vertical="center"/>
    </xf>
    <xf numFmtId="0" fontId="53" fillId="0" borderId="17" xfId="6" applyFont="1" applyBorder="1" applyAlignment="1">
      <alignment horizontal="center" vertical="center"/>
    </xf>
    <xf numFmtId="0" fontId="53" fillId="19" borderId="70" xfId="0" applyFont="1" applyFill="1" applyBorder="1" applyAlignment="1">
      <alignment horizontal="center" vertical="center" wrapText="1"/>
    </xf>
    <xf numFmtId="0" fontId="52" fillId="0" borderId="45" xfId="4" applyFont="1" applyBorder="1" applyAlignment="1">
      <alignment horizontal="center" vertical="center" wrapText="1"/>
    </xf>
    <xf numFmtId="0" fontId="66" fillId="8" borderId="11" xfId="0" applyFont="1" applyFill="1" applyBorder="1" applyAlignment="1">
      <alignment vertical="top"/>
    </xf>
    <xf numFmtId="3" fontId="58" fillId="8" borderId="29" xfId="0" applyNumberFormat="1" applyFont="1" applyFill="1" applyBorder="1" applyAlignment="1">
      <alignment vertical="center"/>
    </xf>
    <xf numFmtId="3" fontId="66" fillId="8" borderId="67" xfId="0" applyNumberFormat="1" applyFont="1" applyFill="1" applyBorder="1" applyAlignment="1">
      <alignment horizontal="center" vertical="center" wrapText="1"/>
    </xf>
    <xf numFmtId="0" fontId="66" fillId="0" borderId="0" xfId="0" applyFont="1" applyFill="1" applyAlignment="1">
      <alignment vertical="top"/>
    </xf>
    <xf numFmtId="0" fontId="66" fillId="31" borderId="0" xfId="0" applyFont="1" applyFill="1" applyAlignment="1">
      <alignment vertical="top"/>
    </xf>
    <xf numFmtId="0" fontId="61" fillId="0" borderId="0" xfId="0" applyFont="1" applyAlignment="1">
      <alignment vertical="top"/>
    </xf>
    <xf numFmtId="0" fontId="50" fillId="2" borderId="7" xfId="0" applyFont="1" applyFill="1" applyBorder="1" applyAlignment="1">
      <alignment vertical="center" wrapText="1"/>
    </xf>
    <xf numFmtId="0" fontId="50" fillId="2" borderId="8" xfId="0" applyFont="1" applyFill="1" applyBorder="1" applyAlignment="1">
      <alignment vertical="center" wrapText="1"/>
    </xf>
    <xf numFmtId="0" fontId="52" fillId="2" borderId="75" xfId="112" quotePrefix="1" applyFont="1" applyFill="1" applyBorder="1" applyAlignment="1">
      <alignment horizontal="center" vertical="top"/>
    </xf>
    <xf numFmtId="0" fontId="2" fillId="0" borderId="47" xfId="112" applyFont="1" applyBorder="1"/>
    <xf numFmtId="3" fontId="17" fillId="0" borderId="50" xfId="0" quotePrefix="1" applyNumberFormat="1" applyFont="1" applyBorder="1" applyAlignment="1">
      <alignment horizontal="center"/>
    </xf>
    <xf numFmtId="43" fontId="23" fillId="9" borderId="34" xfId="1" applyFont="1" applyFill="1" applyBorder="1" applyAlignment="1">
      <alignment vertical="center" wrapText="1"/>
    </xf>
    <xf numFmtId="43" fontId="19" fillId="3" borderId="21" xfId="1" applyFont="1" applyFill="1" applyBorder="1" applyAlignment="1">
      <alignment vertical="center" wrapText="1"/>
    </xf>
    <xf numFmtId="3" fontId="36" fillId="0" borderId="29" xfId="0" applyNumberFormat="1" applyFont="1" applyFill="1" applyBorder="1" applyAlignment="1">
      <alignment vertical="center" wrapText="1"/>
    </xf>
    <xf numFmtId="3" fontId="36" fillId="2" borderId="9" xfId="0" applyNumberFormat="1" applyFont="1" applyFill="1" applyBorder="1" applyAlignment="1">
      <alignment vertical="center" wrapText="1"/>
    </xf>
    <xf numFmtId="0" fontId="13" fillId="2" borderId="14" xfId="0" applyFont="1" applyFill="1" applyBorder="1" applyAlignment="1">
      <alignment horizontal="center"/>
    </xf>
    <xf numFmtId="0" fontId="23" fillId="0" borderId="47" xfId="0" applyFont="1" applyBorder="1" applyAlignment="1">
      <alignment horizontal="center" vertical="center"/>
    </xf>
    <xf numFmtId="3" fontId="3" fillId="8" borderId="8" xfId="0" applyNumberFormat="1" applyFont="1" applyFill="1" applyBorder="1"/>
    <xf numFmtId="3" fontId="74" fillId="6" borderId="47" xfId="0" applyNumberFormat="1" applyFont="1" applyFill="1" applyBorder="1"/>
    <xf numFmtId="3" fontId="17" fillId="0" borderId="39" xfId="0" quotePrefix="1" applyNumberFormat="1" applyFont="1" applyBorder="1" applyAlignment="1">
      <alignment horizontal="center"/>
    </xf>
    <xf numFmtId="0" fontId="75" fillId="2" borderId="0" xfId="0" applyFont="1" applyFill="1" applyBorder="1" applyAlignment="1">
      <alignment horizontal="center" wrapText="1"/>
    </xf>
    <xf numFmtId="3" fontId="35" fillId="13" borderId="47" xfId="4" applyNumberFormat="1" applyFont="1" applyFill="1" applyBorder="1" applyAlignment="1">
      <alignment horizontal="right" vertical="center"/>
    </xf>
    <xf numFmtId="3" fontId="35" fillId="13" borderId="72" xfId="4" applyNumberFormat="1" applyFont="1" applyFill="1" applyBorder="1" applyAlignment="1">
      <alignment horizontal="right" vertical="center"/>
    </xf>
    <xf numFmtId="0" fontId="3" fillId="15" borderId="2" xfId="0" applyFont="1" applyFill="1" applyBorder="1"/>
    <xf numFmtId="3" fontId="14" fillId="15" borderId="74" xfId="0" applyNumberFormat="1" applyFont="1" applyFill="1" applyBorder="1" applyAlignment="1">
      <alignment vertical="center"/>
    </xf>
    <xf numFmtId="3" fontId="36" fillId="6" borderId="79" xfId="0" applyNumberFormat="1" applyFont="1" applyFill="1" applyBorder="1"/>
    <xf numFmtId="3" fontId="36" fillId="6" borderId="31" xfId="0" applyNumberFormat="1" applyFont="1" applyFill="1" applyBorder="1"/>
    <xf numFmtId="3" fontId="16" fillId="6" borderId="76" xfId="0" applyNumberFormat="1" applyFont="1" applyFill="1" applyBorder="1"/>
    <xf numFmtId="3" fontId="3" fillId="6" borderId="79" xfId="0" applyNumberFormat="1" applyFont="1" applyFill="1" applyBorder="1"/>
    <xf numFmtId="3" fontId="36" fillId="6" borderId="71" xfId="0" applyNumberFormat="1" applyFont="1" applyFill="1" applyBorder="1"/>
    <xf numFmtId="3" fontId="3" fillId="6" borderId="75" xfId="0" applyNumberFormat="1" applyFont="1" applyFill="1" applyBorder="1"/>
    <xf numFmtId="0" fontId="3" fillId="15" borderId="4" xfId="0" applyFont="1" applyFill="1" applyBorder="1"/>
    <xf numFmtId="3" fontId="14" fillId="15" borderId="23" xfId="0" applyNumberFormat="1" applyFont="1" applyFill="1" applyBorder="1" applyAlignment="1">
      <alignment vertical="center"/>
    </xf>
    <xf numFmtId="3" fontId="36" fillId="6" borderId="17" xfId="0" applyNumberFormat="1" applyFont="1" applyFill="1" applyBorder="1"/>
    <xf numFmtId="3" fontId="22" fillId="2" borderId="11" xfId="0" applyNumberFormat="1" applyFont="1" applyFill="1" applyBorder="1" applyAlignment="1">
      <alignment vertical="center" wrapText="1"/>
    </xf>
    <xf numFmtId="3" fontId="17" fillId="0" borderId="11" xfId="0" applyNumberFormat="1" applyFont="1" applyFill="1" applyBorder="1" applyAlignment="1">
      <alignment vertical="center" wrapText="1"/>
    </xf>
    <xf numFmtId="3" fontId="3" fillId="0" borderId="11" xfId="0" applyNumberFormat="1" applyFont="1" applyFill="1" applyBorder="1" applyAlignment="1">
      <alignment vertical="center" wrapText="1"/>
    </xf>
    <xf numFmtId="3" fontId="13" fillId="14" borderId="5" xfId="0" applyNumberFormat="1" applyFont="1" applyFill="1" applyBorder="1" applyAlignment="1">
      <alignment vertical="center" wrapText="1"/>
    </xf>
    <xf numFmtId="3" fontId="33" fillId="14" borderId="11" xfId="0" applyNumberFormat="1" applyFont="1" applyFill="1" applyBorder="1" applyAlignment="1">
      <alignment vertical="center" wrapText="1"/>
    </xf>
    <xf numFmtId="3" fontId="33" fillId="14" borderId="25" xfId="0" applyNumberFormat="1" applyFont="1" applyFill="1" applyBorder="1" applyAlignment="1">
      <alignment vertical="center" wrapText="1"/>
    </xf>
    <xf numFmtId="3" fontId="20" fillId="0" borderId="11" xfId="0" applyNumberFormat="1" applyFont="1" applyFill="1" applyBorder="1" applyAlignment="1">
      <alignment vertical="center" wrapText="1"/>
    </xf>
    <xf numFmtId="0" fontId="3" fillId="15" borderId="5" xfId="0" applyFont="1" applyFill="1" applyBorder="1"/>
    <xf numFmtId="3" fontId="14" fillId="15" borderId="25" xfId="0" applyNumberFormat="1" applyFont="1" applyFill="1" applyBorder="1" applyAlignment="1">
      <alignment vertical="center"/>
    </xf>
    <xf numFmtId="3" fontId="36" fillId="6" borderId="19" xfId="0" applyNumberFormat="1" applyFont="1" applyFill="1" applyBorder="1"/>
    <xf numFmtId="3" fontId="36" fillId="6" borderId="32" xfId="0" applyNumberFormat="1" applyFont="1" applyFill="1" applyBorder="1"/>
    <xf numFmtId="3" fontId="16" fillId="6" borderId="77" xfId="0" applyNumberFormat="1" applyFont="1" applyFill="1" applyBorder="1"/>
    <xf numFmtId="3" fontId="37" fillId="12" borderId="11" xfId="0" applyNumberFormat="1" applyFont="1" applyFill="1" applyBorder="1"/>
    <xf numFmtId="3" fontId="37" fillId="8" borderId="11" xfId="0" applyNumberFormat="1" applyFont="1" applyFill="1" applyBorder="1"/>
    <xf numFmtId="3" fontId="3" fillId="6" borderId="19" xfId="0" applyNumberFormat="1" applyFont="1" applyFill="1" applyBorder="1"/>
    <xf numFmtId="3" fontId="3" fillId="6" borderId="77" xfId="0" applyNumberFormat="1" applyFont="1" applyFill="1" applyBorder="1"/>
    <xf numFmtId="3" fontId="37" fillId="12" borderId="25" xfId="0" applyNumberFormat="1" applyFont="1" applyFill="1" applyBorder="1"/>
    <xf numFmtId="0" fontId="42" fillId="0" borderId="0" xfId="0" applyFont="1" applyFill="1" applyAlignment="1">
      <alignment vertical="center"/>
    </xf>
    <xf numFmtId="3" fontId="55" fillId="8" borderId="7" xfId="4" applyNumberFormat="1" applyFont="1" applyFill="1" applyBorder="1" applyAlignment="1">
      <alignment horizontal="right" vertical="center"/>
    </xf>
    <xf numFmtId="3" fontId="55" fillId="24" borderId="7" xfId="4" applyNumberFormat="1" applyFont="1" applyFill="1" applyBorder="1" applyAlignment="1">
      <alignment horizontal="right" vertical="center"/>
    </xf>
    <xf numFmtId="0" fontId="48" fillId="8" borderId="36" xfId="4" applyFont="1" applyFill="1" applyBorder="1" applyAlignment="1">
      <alignment vertical="center" wrapText="1"/>
    </xf>
    <xf numFmtId="3" fontId="53" fillId="0" borderId="0" xfId="0" applyNumberFormat="1" applyFont="1" applyAlignment="1">
      <alignment vertical="center"/>
    </xf>
    <xf numFmtId="0" fontId="53" fillId="0" borderId="0" xfId="0" applyFont="1" applyAlignment="1">
      <alignment vertical="center"/>
    </xf>
    <xf numFmtId="3" fontId="112" fillId="0" borderId="0" xfId="0" applyNumberFormat="1" applyFont="1"/>
    <xf numFmtId="3" fontId="0" fillId="0" borderId="0" xfId="0" applyNumberFormat="1" applyFont="1" applyAlignment="1"/>
    <xf numFmtId="0" fontId="0" fillId="0" borderId="0" xfId="0" applyFont="1" applyAlignment="1"/>
    <xf numFmtId="0" fontId="0" fillId="0" borderId="0" xfId="0" applyFont="1" applyFill="1" applyBorder="1" applyAlignment="1"/>
    <xf numFmtId="0" fontId="0" fillId="2" borderId="0" xfId="0" applyFont="1" applyFill="1" applyAlignment="1"/>
    <xf numFmtId="0" fontId="0" fillId="0" borderId="0" xfId="0" applyFont="1" applyFill="1" applyBorder="1"/>
    <xf numFmtId="3" fontId="0" fillId="0" borderId="0" xfId="0" applyNumberFormat="1" applyFont="1" applyFill="1"/>
    <xf numFmtId="0" fontId="0" fillId="0" borderId="0" xfId="0" applyFont="1" applyFill="1"/>
    <xf numFmtId="0" fontId="80" fillId="0" borderId="0" xfId="0" applyFont="1" applyFill="1"/>
    <xf numFmtId="0" fontId="112" fillId="0" borderId="0" xfId="0" applyFont="1"/>
    <xf numFmtId="0" fontId="55" fillId="8" borderId="4" xfId="0" applyFont="1" applyFill="1" applyBorder="1" applyAlignment="1">
      <alignment horizontal="center" vertical="center" wrapText="1"/>
    </xf>
    <xf numFmtId="3" fontId="62" fillId="2" borderId="32" xfId="4" applyNumberFormat="1" applyFont="1" applyFill="1" applyBorder="1" applyAlignment="1">
      <alignment vertical="center" wrapText="1"/>
    </xf>
    <xf numFmtId="3" fontId="56" fillId="2" borderId="30" xfId="0" applyNumberFormat="1" applyFont="1" applyFill="1" applyBorder="1" applyAlignment="1"/>
    <xf numFmtId="3" fontId="62" fillId="2" borderId="30" xfId="0" applyNumberFormat="1" applyFont="1" applyFill="1" applyBorder="1" applyAlignment="1"/>
    <xf numFmtId="3" fontId="59" fillId="2" borderId="30" xfId="0" applyNumberFormat="1" applyFont="1" applyFill="1" applyBorder="1" applyAlignment="1"/>
    <xf numFmtId="3" fontId="62" fillId="2" borderId="77" xfId="4" applyNumberFormat="1" applyFont="1" applyFill="1" applyBorder="1" applyAlignment="1">
      <alignment vertical="center" wrapText="1"/>
    </xf>
    <xf numFmtId="0" fontId="55" fillId="8" borderId="88" xfId="0" applyFont="1" applyFill="1" applyBorder="1" applyAlignment="1">
      <alignment vertical="center" wrapText="1"/>
    </xf>
    <xf numFmtId="0" fontId="55" fillId="8" borderId="70" xfId="0" applyFont="1" applyFill="1" applyBorder="1" applyAlignment="1">
      <alignment horizontal="center" vertical="center" wrapText="1"/>
    </xf>
    <xf numFmtId="0" fontId="35" fillId="8" borderId="17" xfId="0" applyFont="1" applyFill="1" applyBorder="1" applyAlignment="1">
      <alignment vertical="top"/>
    </xf>
    <xf numFmtId="0" fontId="55" fillId="6" borderId="85" xfId="4" applyFont="1" applyFill="1" applyBorder="1" applyAlignment="1">
      <alignment horizontal="left" vertical="center"/>
    </xf>
    <xf numFmtId="0" fontId="60" fillId="0" borderId="85" xfId="0" applyFont="1" applyFill="1" applyBorder="1" applyAlignment="1">
      <alignment vertical="center"/>
    </xf>
    <xf numFmtId="0" fontId="35" fillId="0" borderId="87" xfId="0" applyFont="1" applyFill="1" applyBorder="1" applyAlignment="1">
      <alignment vertical="center" wrapText="1"/>
    </xf>
    <xf numFmtId="0" fontId="35" fillId="8" borderId="35" xfId="0" applyFont="1" applyFill="1" applyBorder="1" applyAlignment="1">
      <alignment vertical="top"/>
    </xf>
    <xf numFmtId="0" fontId="63" fillId="0" borderId="0" xfId="0" applyFont="1" applyBorder="1"/>
    <xf numFmtId="0" fontId="55" fillId="8" borderId="6" xfId="0" applyFont="1" applyFill="1" applyBorder="1" applyAlignment="1">
      <alignment horizontal="center" vertical="center" wrapText="1"/>
    </xf>
    <xf numFmtId="0" fontId="35" fillId="8" borderId="7" xfId="0" applyFont="1" applyFill="1" applyBorder="1" applyAlignment="1">
      <alignment vertical="top"/>
    </xf>
    <xf numFmtId="3" fontId="35" fillId="8" borderId="7" xfId="0" applyNumberFormat="1" applyFont="1" applyFill="1" applyBorder="1" applyAlignment="1">
      <alignment vertical="top"/>
    </xf>
    <xf numFmtId="3" fontId="35" fillId="24" borderId="35" xfId="0" applyNumberFormat="1" applyFont="1" applyFill="1" applyBorder="1" applyAlignment="1">
      <alignment vertical="top"/>
    </xf>
    <xf numFmtId="3" fontId="35" fillId="24" borderId="30" xfId="4" applyNumberFormat="1" applyFont="1" applyFill="1" applyBorder="1" applyAlignment="1">
      <alignment horizontal="center" vertical="top"/>
    </xf>
    <xf numFmtId="3" fontId="2" fillId="0" borderId="0" xfId="112" applyNumberFormat="1" applyFont="1"/>
    <xf numFmtId="0" fontId="2" fillId="0" borderId="0" xfId="112" applyFont="1"/>
    <xf numFmtId="0" fontId="49" fillId="0" borderId="0" xfId="112" applyFont="1" applyAlignment="1">
      <alignment vertical="center"/>
    </xf>
    <xf numFmtId="3" fontId="49" fillId="0" borderId="0" xfId="112" applyNumberFormat="1" applyFont="1" applyAlignment="1">
      <alignment vertical="top"/>
    </xf>
    <xf numFmtId="3" fontId="14" fillId="6" borderId="70" xfId="0" applyNumberFormat="1" applyFont="1" applyFill="1" applyBorder="1"/>
    <xf numFmtId="3" fontId="14" fillId="6" borderId="35" xfId="0" applyNumberFormat="1" applyFont="1" applyFill="1" applyBorder="1"/>
    <xf numFmtId="3" fontId="14" fillId="6" borderId="12" xfId="0" applyNumberFormat="1" applyFont="1" applyFill="1" applyBorder="1"/>
    <xf numFmtId="0" fontId="23" fillId="0" borderId="71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3" fontId="3" fillId="8" borderId="30" xfId="0" applyNumberFormat="1" applyFont="1" applyFill="1" applyBorder="1" applyAlignment="1">
      <alignment vertical="center"/>
    </xf>
    <xf numFmtId="3" fontId="3" fillId="8" borderId="49" xfId="0" applyNumberFormat="1" applyFont="1" applyFill="1" applyBorder="1" applyAlignment="1">
      <alignment vertical="center"/>
    </xf>
    <xf numFmtId="3" fontId="3" fillId="8" borderId="32" xfId="0" applyNumberFormat="1" applyFont="1" applyFill="1" applyBorder="1" applyAlignment="1">
      <alignment vertical="center"/>
    </xf>
    <xf numFmtId="3" fontId="3" fillId="8" borderId="29" xfId="0" applyNumberFormat="1" applyFont="1" applyFill="1" applyBorder="1" applyAlignment="1">
      <alignment vertical="center"/>
    </xf>
    <xf numFmtId="3" fontId="19" fillId="11" borderId="30" xfId="0" applyNumberFormat="1" applyFont="1" applyFill="1" applyBorder="1" applyAlignment="1">
      <alignment vertical="center"/>
    </xf>
    <xf numFmtId="3" fontId="19" fillId="11" borderId="71" xfId="0" applyNumberFormat="1" applyFont="1" applyFill="1" applyBorder="1" applyAlignment="1">
      <alignment vertical="center"/>
    </xf>
    <xf numFmtId="3" fontId="19" fillId="11" borderId="49" xfId="0" applyNumberFormat="1" applyFont="1" applyFill="1" applyBorder="1" applyAlignment="1">
      <alignment vertical="center"/>
    </xf>
    <xf numFmtId="3" fontId="19" fillId="11" borderId="32" xfId="0" applyNumberFormat="1" applyFont="1" applyFill="1" applyBorder="1" applyAlignment="1">
      <alignment vertical="center"/>
    </xf>
    <xf numFmtId="3" fontId="19" fillId="11" borderId="29" xfId="0" applyNumberFormat="1" applyFont="1" applyFill="1" applyBorder="1" applyAlignment="1">
      <alignment vertical="center"/>
    </xf>
    <xf numFmtId="3" fontId="36" fillId="6" borderId="63" xfId="0" applyNumberFormat="1" applyFont="1" applyFill="1" applyBorder="1"/>
    <xf numFmtId="3" fontId="36" fillId="6" borderId="62" xfId="0" applyNumberFormat="1" applyFont="1" applyFill="1" applyBorder="1"/>
    <xf numFmtId="3" fontId="36" fillId="6" borderId="33" xfId="0" applyNumberFormat="1" applyFont="1" applyFill="1" applyBorder="1"/>
    <xf numFmtId="3" fontId="36" fillId="6" borderId="65" xfId="0" applyNumberFormat="1" applyFont="1" applyFill="1" applyBorder="1"/>
    <xf numFmtId="3" fontId="17" fillId="0" borderId="39" xfId="0" quotePrefix="1" applyNumberFormat="1" applyFont="1" applyBorder="1" applyAlignment="1">
      <alignment horizontal="center" vertical="center"/>
    </xf>
    <xf numFmtId="0" fontId="63" fillId="0" borderId="20" xfId="0" applyFont="1" applyBorder="1" applyAlignment="1">
      <alignment vertical="center" wrapText="1"/>
    </xf>
    <xf numFmtId="0" fontId="35" fillId="28" borderId="32" xfId="4" applyFont="1" applyFill="1" applyBorder="1" applyAlignment="1">
      <alignment vertical="center" wrapText="1"/>
    </xf>
    <xf numFmtId="0" fontId="35" fillId="13" borderId="21" xfId="4" applyFont="1" applyFill="1" applyBorder="1" applyAlignment="1">
      <alignment vertical="center"/>
    </xf>
    <xf numFmtId="0" fontId="56" fillId="8" borderId="19" xfId="4" applyFont="1" applyFill="1" applyBorder="1" applyAlignment="1">
      <alignment horizontal="left"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3" fontId="114" fillId="2" borderId="0" xfId="0" applyNumberFormat="1" applyFont="1" applyFill="1" applyBorder="1" applyAlignment="1">
      <alignment vertical="center" wrapText="1"/>
    </xf>
    <xf numFmtId="3" fontId="7" fillId="0" borderId="0" xfId="0" applyNumberFormat="1" applyFont="1" applyAlignment="1">
      <alignment vertical="center"/>
    </xf>
    <xf numFmtId="3" fontId="14" fillId="4" borderId="46" xfId="0" quotePrefix="1" applyNumberFormat="1" applyFont="1" applyFill="1" applyBorder="1" applyAlignment="1">
      <alignment horizontal="right" vertical="center"/>
    </xf>
    <xf numFmtId="3" fontId="58" fillId="2" borderId="6" xfId="4" applyNumberFormat="1" applyFont="1" applyFill="1" applyBorder="1" applyAlignment="1">
      <alignment horizontal="center" vertical="center" wrapText="1"/>
    </xf>
    <xf numFmtId="3" fontId="59" fillId="0" borderId="27" xfId="4" applyNumberFormat="1" applyFont="1" applyFill="1" applyBorder="1" applyAlignment="1"/>
    <xf numFmtId="3" fontId="59" fillId="2" borderId="9" xfId="4" applyNumberFormat="1" applyFont="1" applyFill="1" applyBorder="1" applyAlignment="1"/>
    <xf numFmtId="3" fontId="59" fillId="2" borderId="35" xfId="4" applyNumberFormat="1" applyFont="1" applyFill="1" applyBorder="1" applyAlignment="1"/>
    <xf numFmtId="3" fontId="73" fillId="0" borderId="10" xfId="4" applyNumberFormat="1" applyFont="1" applyFill="1" applyBorder="1" applyAlignment="1">
      <alignment horizontal="right" vertical="center"/>
    </xf>
    <xf numFmtId="3" fontId="59" fillId="2" borderId="10" xfId="4" applyNumberFormat="1" applyFont="1" applyFill="1" applyBorder="1" applyAlignment="1"/>
    <xf numFmtId="0" fontId="80" fillId="0" borderId="43" xfId="0" applyFont="1" applyBorder="1" applyAlignment="1">
      <alignment horizontal="center" vertical="center" wrapText="1"/>
    </xf>
    <xf numFmtId="0" fontId="115" fillId="0" borderId="67" xfId="4" applyFont="1" applyFill="1" applyBorder="1" applyAlignment="1">
      <alignment horizontal="center" vertical="center"/>
    </xf>
    <xf numFmtId="3" fontId="62" fillId="2" borderId="47" xfId="0" applyNumberFormat="1" applyFont="1" applyFill="1" applyBorder="1" applyAlignment="1">
      <alignment vertical="center"/>
    </xf>
    <xf numFmtId="3" fontId="56" fillId="8" borderId="29" xfId="0" applyNumberFormat="1" applyFont="1" applyFill="1" applyBorder="1" applyAlignment="1">
      <alignment vertical="center"/>
    </xf>
    <xf numFmtId="0" fontId="0" fillId="0" borderId="11" xfId="0" applyFont="1" applyBorder="1"/>
    <xf numFmtId="43" fontId="64" fillId="0" borderId="29" xfId="1" applyFont="1" applyFill="1" applyBorder="1" applyAlignment="1">
      <alignment vertical="center"/>
    </xf>
    <xf numFmtId="43" fontId="35" fillId="0" borderId="63" xfId="1" applyFont="1" applyFill="1" applyBorder="1" applyAlignment="1">
      <alignment horizontal="right" vertical="center"/>
    </xf>
    <xf numFmtId="43" fontId="55" fillId="6" borderId="29" xfId="1" applyFont="1" applyFill="1" applyBorder="1" applyAlignment="1"/>
    <xf numFmtId="43" fontId="64" fillId="0" borderId="9" xfId="1" applyFont="1" applyFill="1" applyBorder="1" applyAlignment="1">
      <alignment vertical="center"/>
    </xf>
    <xf numFmtId="43" fontId="63" fillId="0" borderId="29" xfId="1" applyFont="1" applyFill="1" applyBorder="1" applyAlignment="1">
      <alignment vertical="center"/>
    </xf>
    <xf numFmtId="43" fontId="63" fillId="0" borderId="30" xfId="1" applyFont="1" applyFill="1" applyBorder="1" applyAlignment="1">
      <alignment vertical="center"/>
    </xf>
    <xf numFmtId="0" fontId="35" fillId="0" borderId="83" xfId="4" applyFont="1" applyFill="1" applyBorder="1" applyAlignment="1">
      <alignment horizontal="left" vertical="center"/>
    </xf>
    <xf numFmtId="3" fontId="35" fillId="0" borderId="47" xfId="4" applyNumberFormat="1" applyFont="1" applyFill="1" applyBorder="1" applyAlignment="1">
      <alignment vertical="center"/>
    </xf>
    <xf numFmtId="3" fontId="35" fillId="0" borderId="72" xfId="4" applyNumberFormat="1" applyFont="1" applyFill="1" applyBorder="1" applyAlignment="1">
      <alignment vertical="center"/>
    </xf>
    <xf numFmtId="43" fontId="35" fillId="0" borderId="47" xfId="1" applyFont="1" applyFill="1" applyBorder="1" applyAlignment="1">
      <alignment vertical="center"/>
    </xf>
    <xf numFmtId="3" fontId="35" fillId="0" borderId="47" xfId="4" applyNumberFormat="1" applyFont="1" applyFill="1" applyBorder="1" applyAlignment="1">
      <alignment horizontal="center" vertical="center"/>
    </xf>
    <xf numFmtId="0" fontId="62" fillId="0" borderId="77" xfId="0" applyFont="1" applyFill="1" applyBorder="1" applyAlignment="1">
      <alignment horizontal="left" vertical="center" wrapText="1"/>
    </xf>
    <xf numFmtId="0" fontId="55" fillId="8" borderId="85" xfId="0" applyFont="1" applyFill="1" applyBorder="1" applyAlignment="1">
      <alignment vertical="center" wrapText="1"/>
    </xf>
    <xf numFmtId="0" fontId="35" fillId="8" borderId="0" xfId="0" applyFont="1" applyFill="1" applyBorder="1" applyAlignment="1">
      <alignment vertical="top"/>
    </xf>
    <xf numFmtId="0" fontId="56" fillId="6" borderId="34" xfId="4" applyFont="1" applyFill="1" applyBorder="1" applyAlignment="1">
      <alignment vertical="center"/>
    </xf>
    <xf numFmtId="0" fontId="56" fillId="6" borderId="32" xfId="4" applyFont="1" applyFill="1" applyBorder="1" applyAlignment="1">
      <alignment vertical="center"/>
    </xf>
    <xf numFmtId="0" fontId="56" fillId="6" borderId="84" xfId="4" applyFont="1" applyFill="1" applyBorder="1" applyAlignment="1">
      <alignment vertical="center"/>
    </xf>
    <xf numFmtId="0" fontId="56" fillId="6" borderId="30" xfId="4" applyFont="1" applyFill="1" applyBorder="1" applyAlignment="1">
      <alignment vertical="center"/>
    </xf>
    <xf numFmtId="0" fontId="56" fillId="6" borderId="31" xfId="4" applyFont="1" applyFill="1" applyBorder="1" applyAlignment="1">
      <alignment vertical="center"/>
    </xf>
    <xf numFmtId="3" fontId="64" fillId="33" borderId="30" xfId="6" applyNumberFormat="1" applyFont="1" applyFill="1" applyBorder="1" applyAlignment="1">
      <alignment horizontal="right" vertical="center"/>
    </xf>
    <xf numFmtId="3" fontId="64" fillId="33" borderId="30" xfId="6" applyNumberFormat="1" applyFont="1" applyFill="1" applyBorder="1" applyAlignment="1">
      <alignment vertical="center"/>
    </xf>
    <xf numFmtId="3" fontId="58" fillId="33" borderId="30" xfId="4" applyNumberFormat="1" applyFont="1" applyFill="1" applyBorder="1" applyAlignment="1">
      <alignment horizontal="right" vertical="center"/>
    </xf>
    <xf numFmtId="3" fontId="58" fillId="33" borderId="65" xfId="4" applyNumberFormat="1" applyFont="1" applyFill="1" applyBorder="1" applyAlignment="1">
      <alignment horizontal="right" vertical="center"/>
    </xf>
    <xf numFmtId="0" fontId="0" fillId="0" borderId="84" xfId="0" applyFont="1" applyBorder="1" applyAlignment="1">
      <alignment vertical="center"/>
    </xf>
    <xf numFmtId="3" fontId="63" fillId="33" borderId="30" xfId="6" applyNumberFormat="1" applyFont="1" applyFill="1" applyBorder="1" applyAlignment="1">
      <alignment horizontal="right" vertical="center"/>
    </xf>
    <xf numFmtId="3" fontId="35" fillId="33" borderId="30" xfId="4" applyNumberFormat="1" applyFont="1" applyFill="1" applyBorder="1" applyAlignment="1">
      <alignment horizontal="right" vertical="center"/>
    </xf>
    <xf numFmtId="3" fontId="35" fillId="24" borderId="30" xfId="4" applyNumberFormat="1" applyFont="1" applyFill="1" applyBorder="1" applyAlignment="1">
      <alignment vertical="center"/>
    </xf>
    <xf numFmtId="0" fontId="56" fillId="6" borderId="85" xfId="4" applyFont="1" applyFill="1" applyBorder="1" applyAlignment="1">
      <alignment horizontal="left" vertical="center"/>
    </xf>
    <xf numFmtId="3" fontId="55" fillId="6" borderId="29" xfId="4" applyNumberFormat="1" applyFont="1" applyFill="1" applyBorder="1" applyAlignment="1">
      <alignment horizontal="right"/>
    </xf>
    <xf numFmtId="3" fontId="63" fillId="0" borderId="47" xfId="6" applyNumberFormat="1" applyFont="1" applyFill="1" applyBorder="1" applyAlignment="1">
      <alignment horizontal="right" vertical="center"/>
    </xf>
    <xf numFmtId="0" fontId="55" fillId="0" borderId="0" xfId="4" applyFont="1" applyFill="1" applyBorder="1" applyAlignment="1">
      <alignment vertical="center"/>
    </xf>
    <xf numFmtId="0" fontId="52" fillId="0" borderId="0" xfId="4" applyFont="1" applyFill="1" applyBorder="1" applyAlignment="1">
      <alignment vertical="center"/>
    </xf>
    <xf numFmtId="0" fontId="35" fillId="0" borderId="0" xfId="4" applyFont="1" applyFill="1" applyBorder="1" applyAlignment="1">
      <alignment vertical="top"/>
    </xf>
    <xf numFmtId="0" fontId="63" fillId="0" borderId="0" xfId="0" applyFont="1" applyBorder="1" applyAlignment="1">
      <alignment horizontal="center" vertical="center" wrapText="1"/>
    </xf>
    <xf numFmtId="3" fontId="52" fillId="2" borderId="0" xfId="4" applyNumberFormat="1" applyFont="1" applyFill="1" applyBorder="1" applyAlignment="1">
      <alignment horizontal="right" vertical="center"/>
    </xf>
    <xf numFmtId="0" fontId="49" fillId="0" borderId="0" xfId="4" applyFont="1" applyFill="1" applyBorder="1" applyAlignment="1">
      <alignment horizontal="center" vertical="center" wrapText="1"/>
    </xf>
    <xf numFmtId="0" fontId="116" fillId="0" borderId="56" xfId="4" applyFont="1" applyFill="1" applyBorder="1" applyAlignment="1">
      <alignment vertical="center" wrapText="1"/>
    </xf>
    <xf numFmtId="0" fontId="116" fillId="0" borderId="94" xfId="4" applyFont="1" applyFill="1" applyBorder="1" applyAlignment="1">
      <alignment horizontal="center" vertical="center" wrapText="1"/>
    </xf>
    <xf numFmtId="0" fontId="116" fillId="0" borderId="54" xfId="4" applyFont="1" applyFill="1" applyBorder="1" applyAlignment="1">
      <alignment horizontal="center" vertical="center" wrapText="1"/>
    </xf>
    <xf numFmtId="0" fontId="118" fillId="0" borderId="54" xfId="4" applyFont="1" applyFill="1" applyBorder="1" applyAlignment="1">
      <alignment horizontal="center" vertical="center" wrapText="1"/>
    </xf>
    <xf numFmtId="3" fontId="118" fillId="0" borderId="54" xfId="4" applyNumberFormat="1" applyFont="1" applyFill="1" applyBorder="1" applyAlignment="1">
      <alignment horizontal="center" vertical="center" wrapText="1"/>
    </xf>
    <xf numFmtId="166" fontId="118" fillId="0" borderId="54" xfId="0" applyNumberFormat="1" applyFont="1" applyFill="1" applyBorder="1" applyAlignment="1">
      <alignment horizontal="center" vertical="center" wrapText="1"/>
    </xf>
    <xf numFmtId="3" fontId="119" fillId="0" borderId="54" xfId="4" applyNumberFormat="1" applyFont="1" applyFill="1" applyBorder="1" applyAlignment="1">
      <alignment horizontal="right" vertical="center"/>
    </xf>
    <xf numFmtId="3" fontId="116" fillId="0" borderId="54" xfId="4" applyNumberFormat="1" applyFont="1" applyFill="1" applyBorder="1" applyAlignment="1">
      <alignment horizontal="right" vertical="center"/>
    </xf>
    <xf numFmtId="3" fontId="116" fillId="0" borderId="55" xfId="4" applyNumberFormat="1" applyFont="1" applyFill="1" applyBorder="1" applyAlignment="1">
      <alignment horizontal="right" vertical="center"/>
    </xf>
    <xf numFmtId="0" fontId="120" fillId="6" borderId="36" xfId="4" applyFont="1" applyFill="1" applyBorder="1" applyAlignment="1">
      <alignment horizontal="left" vertical="center"/>
    </xf>
    <xf numFmtId="0" fontId="120" fillId="6" borderId="8" xfId="4" applyFont="1" applyFill="1" applyBorder="1" applyAlignment="1">
      <alignment horizontal="left" vertical="center"/>
    </xf>
    <xf numFmtId="3" fontId="120" fillId="6" borderId="35" xfId="4" applyNumberFormat="1" applyFont="1" applyFill="1" applyBorder="1" applyAlignment="1">
      <alignment horizontal="right" vertical="center"/>
    </xf>
    <xf numFmtId="3" fontId="120" fillId="6" borderId="9" xfId="4" applyNumberFormat="1" applyFont="1" applyFill="1" applyBorder="1" applyAlignment="1">
      <alignment horizontal="right" vertical="center"/>
    </xf>
    <xf numFmtId="3" fontId="121" fillId="2" borderId="34" xfId="4" applyNumberFormat="1" applyFont="1" applyFill="1" applyBorder="1" applyAlignment="1">
      <alignment vertical="center" wrapText="1"/>
    </xf>
    <xf numFmtId="3" fontId="121" fillId="2" borderId="0" xfId="4" applyNumberFormat="1" applyFont="1" applyFill="1" applyBorder="1" applyAlignment="1">
      <alignment vertical="center" wrapText="1"/>
    </xf>
    <xf numFmtId="3" fontId="121" fillId="2" borderId="13" xfId="4" applyNumberFormat="1" applyFont="1" applyFill="1" applyBorder="1" applyAlignment="1">
      <alignment horizontal="right" vertical="center"/>
    </xf>
    <xf numFmtId="3" fontId="121" fillId="2" borderId="30" xfId="4" applyNumberFormat="1" applyFont="1" applyFill="1" applyBorder="1" applyAlignment="1">
      <alignment horizontal="right" vertical="center"/>
    </xf>
    <xf numFmtId="3" fontId="121" fillId="2" borderId="27" xfId="4" applyNumberFormat="1" applyFont="1" applyFill="1" applyBorder="1" applyAlignment="1">
      <alignment horizontal="right" vertical="center"/>
    </xf>
    <xf numFmtId="0" fontId="122" fillId="0" borderId="34" xfId="4" applyFont="1" applyFill="1" applyBorder="1" applyAlignment="1">
      <alignment vertical="center"/>
    </xf>
    <xf numFmtId="0" fontId="122" fillId="0" borderId="31" xfId="4" applyFont="1" applyFill="1" applyBorder="1" applyAlignment="1">
      <alignment vertical="center"/>
    </xf>
    <xf numFmtId="3" fontId="122" fillId="0" borderId="30" xfId="4" applyNumberFormat="1" applyFont="1" applyFill="1" applyBorder="1" applyAlignment="1">
      <alignment horizontal="right" vertical="center"/>
    </xf>
    <xf numFmtId="3" fontId="122" fillId="0" borderId="35" xfId="4" applyNumberFormat="1" applyFont="1" applyFill="1" applyBorder="1" applyAlignment="1">
      <alignment horizontal="right" vertical="center"/>
    </xf>
    <xf numFmtId="3" fontId="122" fillId="0" borderId="0" xfId="4" applyNumberFormat="1" applyFont="1" applyFill="1" applyBorder="1" applyAlignment="1">
      <alignment horizontal="right" vertical="center"/>
    </xf>
    <xf numFmtId="0" fontId="123" fillId="0" borderId="47" xfId="0" applyFont="1" applyBorder="1"/>
    <xf numFmtId="3" fontId="122" fillId="2" borderId="13" xfId="4" applyNumberFormat="1" applyFont="1" applyFill="1" applyBorder="1" applyAlignment="1">
      <alignment horizontal="right" vertical="center"/>
    </xf>
    <xf numFmtId="0" fontId="116" fillId="0" borderId="56" xfId="4" applyFont="1" applyFill="1" applyBorder="1" applyAlignment="1">
      <alignment vertical="center"/>
    </xf>
    <xf numFmtId="0" fontId="116" fillId="0" borderId="95" xfId="4" applyFont="1" applyFill="1" applyBorder="1" applyAlignment="1">
      <alignment vertical="center" wrapText="1"/>
    </xf>
    <xf numFmtId="0" fontId="116" fillId="0" borderId="11" xfId="4" applyFont="1" applyFill="1" applyBorder="1" applyAlignment="1">
      <alignment vertical="center"/>
    </xf>
    <xf numFmtId="0" fontId="120" fillId="6" borderId="31" xfId="4" applyFont="1" applyFill="1" applyBorder="1" applyAlignment="1">
      <alignment horizontal="left" vertical="center"/>
    </xf>
    <xf numFmtId="3" fontId="120" fillId="6" borderId="30" xfId="4" applyNumberFormat="1" applyFont="1" applyFill="1" applyBorder="1" applyAlignment="1">
      <alignment horizontal="right" vertical="center"/>
    </xf>
    <xf numFmtId="0" fontId="120" fillId="6" borderId="30" xfId="4" applyFont="1" applyFill="1" applyBorder="1" applyAlignment="1">
      <alignment horizontal="left" vertical="center"/>
    </xf>
    <xf numFmtId="3" fontId="121" fillId="2" borderId="31" xfId="4" applyNumberFormat="1" applyFont="1" applyFill="1" applyBorder="1" applyAlignment="1">
      <alignment vertical="top" wrapText="1"/>
    </xf>
    <xf numFmtId="3" fontId="121" fillId="0" borderId="30" xfId="4" applyNumberFormat="1" applyFont="1" applyFill="1" applyBorder="1" applyAlignment="1">
      <alignment horizontal="right" vertical="center"/>
    </xf>
    <xf numFmtId="3" fontId="120" fillId="2" borderId="30" xfId="4" applyNumberFormat="1" applyFont="1" applyFill="1" applyBorder="1" applyAlignment="1">
      <alignment horizontal="center" vertical="center" wrapText="1"/>
    </xf>
    <xf numFmtId="0" fontId="119" fillId="0" borderId="31" xfId="4" applyFont="1" applyFill="1" applyBorder="1" applyAlignment="1">
      <alignment vertical="top"/>
    </xf>
    <xf numFmtId="3" fontId="117" fillId="0" borderId="30" xfId="4" applyNumberFormat="1" applyFont="1" applyFill="1" applyBorder="1" applyAlignment="1">
      <alignment horizontal="right" vertical="center"/>
    </xf>
    <xf numFmtId="3" fontId="117" fillId="0" borderId="35" xfId="4" applyNumberFormat="1" applyFont="1" applyFill="1" applyBorder="1" applyAlignment="1">
      <alignment horizontal="right" vertical="center"/>
    </xf>
    <xf numFmtId="0" fontId="124" fillId="0" borderId="35" xfId="0" applyFont="1" applyBorder="1" applyAlignment="1">
      <alignment horizontal="center" vertical="center" wrapText="1"/>
    </xf>
    <xf numFmtId="0" fontId="116" fillId="0" borderId="54" xfId="4" applyFont="1" applyFill="1" applyBorder="1" applyAlignment="1">
      <alignment vertical="top" wrapText="1"/>
    </xf>
    <xf numFmtId="3" fontId="119" fillId="0" borderId="94" xfId="4" applyNumberFormat="1" applyFont="1" applyFill="1" applyBorder="1" applyAlignment="1">
      <alignment horizontal="right" vertical="center"/>
    </xf>
    <xf numFmtId="0" fontId="120" fillId="6" borderId="31" xfId="4" applyFont="1" applyFill="1" applyBorder="1" applyAlignment="1">
      <alignment horizontal="center" vertical="center"/>
    </xf>
    <xf numFmtId="3" fontId="121" fillId="2" borderId="31" xfId="4" applyNumberFormat="1" applyFont="1" applyFill="1" applyBorder="1" applyAlignment="1">
      <alignment horizontal="center" vertical="top" wrapText="1"/>
    </xf>
    <xf numFmtId="3" fontId="121" fillId="2" borderId="65" xfId="4" applyNumberFormat="1" applyFont="1" applyFill="1" applyBorder="1" applyAlignment="1">
      <alignment horizontal="right" vertical="center"/>
    </xf>
    <xf numFmtId="0" fontId="116" fillId="0" borderId="25" xfId="4" applyFont="1" applyFill="1" applyBorder="1" applyAlignment="1">
      <alignment vertical="center"/>
    </xf>
    <xf numFmtId="0" fontId="119" fillId="0" borderId="31" xfId="4" applyFont="1" applyFill="1" applyBorder="1" applyAlignment="1">
      <alignment horizontal="center" vertical="top"/>
    </xf>
    <xf numFmtId="3" fontId="121" fillId="0" borderId="47" xfId="4" applyNumberFormat="1" applyFont="1" applyFill="1" applyBorder="1" applyAlignment="1">
      <alignment horizontal="right" vertical="center"/>
    </xf>
    <xf numFmtId="3" fontId="121" fillId="0" borderId="12" xfId="4" applyNumberFormat="1" applyFont="1" applyFill="1" applyBorder="1" applyAlignment="1">
      <alignment horizontal="right" vertical="center"/>
    </xf>
    <xf numFmtId="0" fontId="124" fillId="0" borderId="12" xfId="0" applyFont="1" applyBorder="1" applyAlignment="1">
      <alignment horizontal="center" vertical="center" wrapText="1"/>
    </xf>
    <xf numFmtId="3" fontId="122" fillId="2" borderId="12" xfId="4" applyNumberFormat="1" applyFont="1" applyFill="1" applyBorder="1" applyAlignment="1">
      <alignment horizontal="right" vertical="center"/>
    </xf>
    <xf numFmtId="3" fontId="122" fillId="0" borderId="47" xfId="4" applyNumberFormat="1" applyFont="1" applyFill="1" applyBorder="1" applyAlignment="1">
      <alignment horizontal="right" vertical="center"/>
    </xf>
    <xf numFmtId="0" fontId="126" fillId="21" borderId="52" xfId="0" applyFont="1" applyFill="1" applyBorder="1" applyAlignment="1">
      <alignment horizontal="center" vertical="center" wrapText="1"/>
    </xf>
    <xf numFmtId="43" fontId="126" fillId="21" borderId="89" xfId="1" applyFont="1" applyFill="1" applyBorder="1" applyAlignment="1">
      <alignment horizontal="center" vertical="center" wrapText="1"/>
    </xf>
    <xf numFmtId="43" fontId="122" fillId="21" borderId="39" xfId="1" quotePrefix="1" applyFont="1" applyFill="1" applyBorder="1" applyAlignment="1">
      <alignment horizontal="center" vertical="center"/>
    </xf>
    <xf numFmtId="3" fontId="128" fillId="21" borderId="50" xfId="0" quotePrefix="1" applyNumberFormat="1" applyFont="1" applyFill="1" applyBorder="1" applyAlignment="1">
      <alignment horizontal="right" vertical="center"/>
    </xf>
    <xf numFmtId="3" fontId="122" fillId="2" borderId="91" xfId="0" quotePrefix="1" applyNumberFormat="1" applyFont="1" applyFill="1" applyBorder="1" applyAlignment="1">
      <alignment horizontal="center" vertical="top"/>
    </xf>
    <xf numFmtId="0" fontId="116" fillId="0" borderId="53" xfId="4" applyFont="1" applyFill="1" applyBorder="1" applyAlignment="1">
      <alignment horizontal="center" vertical="center" wrapText="1"/>
    </xf>
    <xf numFmtId="0" fontId="116" fillId="0" borderId="93" xfId="4" applyFont="1" applyFill="1" applyBorder="1" applyAlignment="1">
      <alignment horizontal="center" vertical="center" wrapText="1"/>
    </xf>
    <xf numFmtId="0" fontId="118" fillId="0" borderId="93" xfId="4" applyFont="1" applyFill="1" applyBorder="1" applyAlignment="1">
      <alignment horizontal="center" vertical="center" wrapText="1"/>
    </xf>
    <xf numFmtId="3" fontId="118" fillId="0" borderId="93" xfId="4" applyNumberFormat="1" applyFont="1" applyFill="1" applyBorder="1" applyAlignment="1">
      <alignment horizontal="center" vertical="center" wrapText="1"/>
    </xf>
    <xf numFmtId="166" fontId="118" fillId="0" borderId="93" xfId="0" applyNumberFormat="1" applyFont="1" applyFill="1" applyBorder="1" applyAlignment="1">
      <alignment horizontal="center" vertical="center" wrapText="1"/>
    </xf>
    <xf numFmtId="3" fontId="119" fillId="0" borderId="93" xfId="4" applyNumberFormat="1" applyFont="1" applyFill="1" applyBorder="1" applyAlignment="1">
      <alignment horizontal="right" vertical="center"/>
    </xf>
    <xf numFmtId="3" fontId="116" fillId="0" borderId="93" xfId="4" applyNumberFormat="1" applyFont="1" applyFill="1" applyBorder="1" applyAlignment="1">
      <alignment horizontal="right" vertical="center"/>
    </xf>
    <xf numFmtId="3" fontId="116" fillId="0" borderId="92" xfId="4" applyNumberFormat="1" applyFont="1" applyFill="1" applyBorder="1" applyAlignment="1">
      <alignment horizontal="right" vertical="center"/>
    </xf>
    <xf numFmtId="0" fontId="120" fillId="6" borderId="35" xfId="4" applyFont="1" applyFill="1" applyBorder="1" applyAlignment="1">
      <alignment horizontal="left" vertical="center"/>
    </xf>
    <xf numFmtId="0" fontId="122" fillId="0" borderId="83" xfId="4" applyFont="1" applyFill="1" applyBorder="1" applyAlignment="1">
      <alignment vertical="center"/>
    </xf>
    <xf numFmtId="0" fontId="119" fillId="0" borderId="76" xfId="4" applyFont="1" applyFill="1" applyBorder="1" applyAlignment="1">
      <alignment vertical="top"/>
    </xf>
    <xf numFmtId="0" fontId="79" fillId="0" borderId="0" xfId="0" applyFont="1" applyFill="1" applyBorder="1" applyAlignment="1">
      <alignment wrapText="1"/>
    </xf>
    <xf numFmtId="0" fontId="79" fillId="0" borderId="0" xfId="0" applyFont="1" applyFill="1" applyBorder="1"/>
    <xf numFmtId="3" fontId="79" fillId="0" borderId="0" xfId="0" applyNumberFormat="1" applyFont="1" applyFill="1" applyBorder="1"/>
    <xf numFmtId="0" fontId="86" fillId="14" borderId="51" xfId="0" applyFont="1" applyFill="1" applyBorder="1" applyAlignment="1">
      <alignment vertical="center"/>
    </xf>
    <xf numFmtId="3" fontId="86" fillId="14" borderId="51" xfId="0" applyNumberFormat="1" applyFont="1" applyFill="1" applyBorder="1" applyAlignment="1">
      <alignment vertical="center"/>
    </xf>
    <xf numFmtId="3" fontId="86" fillId="14" borderId="80" xfId="0" applyNumberFormat="1" applyFont="1" applyFill="1" applyBorder="1" applyAlignment="1">
      <alignment vertical="center"/>
    </xf>
    <xf numFmtId="49" fontId="0" fillId="0" borderId="30" xfId="0" applyNumberFormat="1" applyFont="1" applyBorder="1" applyAlignment="1">
      <alignment horizontal="center"/>
    </xf>
    <xf numFmtId="3" fontId="69" fillId="0" borderId="30" xfId="0" applyNumberFormat="1" applyFont="1" applyBorder="1" applyAlignment="1"/>
    <xf numFmtId="0" fontId="57" fillId="0" borderId="73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115" fillId="0" borderId="80" xfId="4" applyFont="1" applyFill="1" applyBorder="1" applyAlignment="1">
      <alignment horizontal="center" vertical="center"/>
    </xf>
    <xf numFmtId="3" fontId="130" fillId="2" borderId="0" xfId="0" applyNumberFormat="1" applyFont="1" applyFill="1" applyAlignment="1">
      <alignment vertical="center"/>
    </xf>
    <xf numFmtId="0" fontId="48" fillId="13" borderId="25" xfId="4" applyFont="1" applyFill="1" applyBorder="1" applyAlignment="1">
      <alignment horizontal="center" vertical="top"/>
    </xf>
    <xf numFmtId="3" fontId="35" fillId="13" borderId="69" xfId="4" applyNumberFormat="1" applyFont="1" applyFill="1" applyBorder="1" applyAlignment="1">
      <alignment vertical="top" wrapText="1"/>
    </xf>
    <xf numFmtId="3" fontId="49" fillId="28" borderId="41" xfId="4" applyNumberFormat="1" applyFont="1" applyFill="1" applyBorder="1" applyAlignment="1">
      <alignment horizontal="center" vertical="top" wrapText="1"/>
    </xf>
    <xf numFmtId="43" fontId="0" fillId="0" borderId="30" xfId="0" applyNumberFormat="1" applyFont="1" applyBorder="1"/>
    <xf numFmtId="3" fontId="56" fillId="0" borderId="30" xfId="4" applyNumberFormat="1" applyFont="1" applyFill="1" applyBorder="1" applyAlignment="1">
      <alignment horizontal="right" vertical="center"/>
    </xf>
    <xf numFmtId="0" fontId="0" fillId="0" borderId="0" xfId="0" applyFont="1" applyBorder="1" applyAlignment="1">
      <alignment vertical="center"/>
    </xf>
    <xf numFmtId="3" fontId="62" fillId="0" borderId="72" xfId="4" applyNumberFormat="1" applyFont="1" applyFill="1" applyBorder="1" applyAlignment="1">
      <alignment horizontal="right"/>
    </xf>
    <xf numFmtId="3" fontId="62" fillId="0" borderId="74" xfId="4" applyNumberFormat="1" applyFont="1" applyFill="1" applyBorder="1" applyAlignment="1">
      <alignment horizontal="right"/>
    </xf>
    <xf numFmtId="0" fontId="56" fillId="8" borderId="19" xfId="4" applyFont="1" applyFill="1" applyBorder="1" applyAlignment="1">
      <alignment vertical="center" wrapText="1"/>
    </xf>
    <xf numFmtId="3" fontId="63" fillId="0" borderId="74" xfId="6" applyNumberFormat="1" applyFont="1" applyFill="1" applyBorder="1" applyAlignment="1">
      <alignment vertical="center"/>
    </xf>
    <xf numFmtId="0" fontId="56" fillId="8" borderId="19" xfId="4" applyFont="1" applyFill="1" applyBorder="1" applyAlignment="1">
      <alignment vertical="top" wrapText="1"/>
    </xf>
    <xf numFmtId="0" fontId="56" fillId="8" borderId="19" xfId="4" applyFont="1" applyFill="1" applyBorder="1" applyAlignment="1">
      <alignment horizontal="left" vertical="center" wrapText="1"/>
    </xf>
    <xf numFmtId="43" fontId="56" fillId="6" borderId="29" xfId="1" applyFont="1" applyFill="1" applyBorder="1" applyAlignment="1">
      <alignment horizontal="right" vertical="center"/>
    </xf>
    <xf numFmtId="43" fontId="58" fillId="0" borderId="29" xfId="1" applyFont="1" applyFill="1" applyBorder="1" applyAlignment="1">
      <alignment horizontal="right" vertical="center"/>
    </xf>
    <xf numFmtId="43" fontId="62" fillId="0" borderId="29" xfId="1" applyFont="1" applyFill="1" applyBorder="1" applyAlignment="1">
      <alignment horizontal="right" vertical="center"/>
    </xf>
    <xf numFmtId="43" fontId="58" fillId="2" borderId="29" xfId="1" applyFont="1" applyFill="1" applyBorder="1" applyAlignment="1"/>
    <xf numFmtId="43" fontId="62" fillId="2" borderId="47" xfId="1" applyFont="1" applyFill="1" applyBorder="1" applyAlignment="1"/>
    <xf numFmtId="43" fontId="63" fillId="0" borderId="23" xfId="1" applyFont="1" applyFill="1" applyBorder="1" applyAlignment="1">
      <alignment vertical="center"/>
    </xf>
    <xf numFmtId="43" fontId="56" fillId="6" borderId="30" xfId="1" applyFont="1" applyFill="1" applyBorder="1" applyAlignment="1">
      <alignment horizontal="right" vertical="center"/>
    </xf>
    <xf numFmtId="3" fontId="62" fillId="0" borderId="29" xfId="4" applyNumberFormat="1" applyFont="1" applyFill="1" applyBorder="1" applyAlignment="1">
      <alignment vertical="center"/>
    </xf>
    <xf numFmtId="43" fontId="64" fillId="0" borderId="30" xfId="1" applyFont="1" applyFill="1" applyBorder="1" applyAlignment="1">
      <alignment vertical="center"/>
    </xf>
    <xf numFmtId="43" fontId="35" fillId="0" borderId="47" xfId="1" applyFont="1" applyFill="1" applyBorder="1" applyAlignment="1">
      <alignment horizontal="right" vertical="center"/>
    </xf>
    <xf numFmtId="43" fontId="55" fillId="6" borderId="30" xfId="1" applyFont="1" applyFill="1" applyBorder="1" applyAlignment="1">
      <alignment horizontal="right" vertical="center"/>
    </xf>
    <xf numFmtId="43" fontId="58" fillId="0" borderId="30" xfId="1" applyFont="1" applyFill="1" applyBorder="1" applyAlignment="1">
      <alignment horizontal="right" vertical="center"/>
    </xf>
    <xf numFmtId="3" fontId="55" fillId="8" borderId="0" xfId="4" applyNumberFormat="1" applyFont="1" applyFill="1" applyBorder="1" applyAlignment="1">
      <alignment horizontal="right" vertical="center"/>
    </xf>
    <xf numFmtId="3" fontId="55" fillId="24" borderId="0" xfId="4" applyNumberFormat="1" applyFont="1" applyFill="1" applyBorder="1" applyAlignment="1">
      <alignment horizontal="right" vertical="center"/>
    </xf>
    <xf numFmtId="0" fontId="0" fillId="0" borderId="52" xfId="0" applyFont="1" applyBorder="1" applyAlignment="1">
      <alignment horizontal="center" vertical="center"/>
    </xf>
    <xf numFmtId="3" fontId="62" fillId="0" borderId="51" xfId="4" applyNumberFormat="1" applyFont="1" applyFill="1" applyBorder="1" applyAlignment="1"/>
    <xf numFmtId="3" fontId="35" fillId="0" borderId="50" xfId="4" applyNumberFormat="1" applyFont="1" applyFill="1" applyBorder="1" applyAlignment="1">
      <alignment horizontal="right"/>
    </xf>
    <xf numFmtId="3" fontId="62" fillId="0" borderId="39" xfId="4" applyNumberFormat="1" applyFont="1" applyFill="1" applyBorder="1" applyAlignment="1">
      <alignment horizontal="right"/>
    </xf>
    <xf numFmtId="3" fontId="62" fillId="0" borderId="50" xfId="4" applyNumberFormat="1" applyFont="1" applyFill="1" applyBorder="1" applyAlignment="1">
      <alignment horizontal="right"/>
    </xf>
    <xf numFmtId="3" fontId="35" fillId="0" borderId="78" xfId="4" applyNumberFormat="1" applyFont="1" applyFill="1" applyBorder="1" applyAlignment="1">
      <alignment horizontal="right"/>
    </xf>
    <xf numFmtId="3" fontId="56" fillId="27" borderId="51" xfId="4" applyNumberFormat="1" applyFont="1" applyFill="1" applyBorder="1" applyAlignment="1">
      <alignment horizontal="center" vertical="center"/>
    </xf>
    <xf numFmtId="0" fontId="53" fillId="0" borderId="40" xfId="0" applyFont="1" applyBorder="1" applyAlignment="1">
      <alignment horizontal="center" vertical="center" wrapText="1"/>
    </xf>
    <xf numFmtId="3" fontId="55" fillId="8" borderId="3" xfId="0" applyNumberFormat="1" applyFont="1" applyFill="1" applyBorder="1" applyAlignment="1">
      <alignment vertical="center"/>
    </xf>
    <xf numFmtId="3" fontId="62" fillId="0" borderId="29" xfId="0" applyNumberFormat="1" applyFont="1" applyFill="1" applyBorder="1" applyAlignment="1">
      <alignment horizontal="right" vertical="center"/>
    </xf>
    <xf numFmtId="3" fontId="35" fillId="0" borderId="30" xfId="0" applyNumberFormat="1" applyFont="1" applyFill="1" applyBorder="1" applyAlignment="1">
      <alignment horizontal="right" vertical="center"/>
    </xf>
    <xf numFmtId="0" fontId="64" fillId="0" borderId="6" xfId="0" applyFont="1" applyBorder="1" applyAlignment="1">
      <alignment horizontal="center" vertical="center"/>
    </xf>
    <xf numFmtId="3" fontId="62" fillId="0" borderId="9" xfId="0" applyNumberFormat="1" applyFont="1" applyFill="1" applyBorder="1" applyAlignment="1">
      <alignment horizontal="right" vertical="center"/>
    </xf>
    <xf numFmtId="3" fontId="35" fillId="0" borderId="29" xfId="0" applyNumberFormat="1" applyFont="1" applyFill="1" applyBorder="1" applyAlignment="1">
      <alignment horizontal="right" vertical="center"/>
    </xf>
    <xf numFmtId="3" fontId="62" fillId="2" borderId="65" xfId="4" applyNumberFormat="1" applyFont="1" applyFill="1" applyBorder="1" applyAlignment="1"/>
    <xf numFmtId="3" fontId="35" fillId="2" borderId="30" xfId="4" applyNumberFormat="1" applyFont="1" applyFill="1" applyBorder="1" applyAlignment="1"/>
    <xf numFmtId="3" fontId="35" fillId="2" borderId="29" xfId="4" applyNumberFormat="1" applyFont="1" applyFill="1" applyBorder="1" applyAlignment="1"/>
    <xf numFmtId="3" fontId="62" fillId="2" borderId="29" xfId="4" applyNumberFormat="1" applyFont="1" applyFill="1" applyBorder="1" applyAlignment="1"/>
    <xf numFmtId="3" fontId="35" fillId="2" borderId="35" xfId="4" applyNumberFormat="1" applyFont="1" applyFill="1" applyBorder="1" applyAlignment="1"/>
    <xf numFmtId="3" fontId="35" fillId="2" borderId="9" xfId="4" applyNumberFormat="1" applyFont="1" applyFill="1" applyBorder="1" applyAlignment="1"/>
    <xf numFmtId="3" fontId="62" fillId="2" borderId="9" xfId="4" applyNumberFormat="1" applyFont="1" applyFill="1" applyBorder="1" applyAlignment="1"/>
    <xf numFmtId="3" fontId="62" fillId="2" borderId="30" xfId="4" applyNumberFormat="1" applyFont="1" applyFill="1" applyBorder="1" applyAlignment="1"/>
    <xf numFmtId="3" fontId="62" fillId="2" borderId="71" xfId="4" applyNumberFormat="1" applyFont="1" applyFill="1" applyBorder="1" applyAlignment="1"/>
    <xf numFmtId="3" fontId="58" fillId="2" borderId="71" xfId="4" applyNumberFormat="1" applyFont="1" applyFill="1" applyBorder="1" applyAlignment="1"/>
    <xf numFmtId="3" fontId="62" fillId="0" borderId="71" xfId="0" applyNumberFormat="1" applyFont="1" applyFill="1" applyBorder="1" applyAlignment="1">
      <alignment horizontal="right" vertical="center"/>
    </xf>
    <xf numFmtId="3" fontId="62" fillId="2" borderId="12" xfId="4" applyNumberFormat="1" applyFont="1" applyFill="1" applyBorder="1" applyAlignment="1"/>
    <xf numFmtId="3" fontId="62" fillId="2" borderId="23" xfId="4" applyNumberFormat="1" applyFont="1" applyFill="1" applyBorder="1" applyAlignment="1"/>
    <xf numFmtId="3" fontId="62" fillId="0" borderId="74" xfId="0" applyNumberFormat="1" applyFont="1" applyFill="1" applyBorder="1" applyAlignment="1">
      <alignment horizontal="right" vertical="center"/>
    </xf>
    <xf numFmtId="3" fontId="62" fillId="0" borderId="75" xfId="0" applyNumberFormat="1" applyFont="1" applyFill="1" applyBorder="1" applyAlignment="1">
      <alignment horizontal="right" vertical="center"/>
    </xf>
    <xf numFmtId="3" fontId="48" fillId="8" borderId="4" xfId="0" applyNumberFormat="1" applyFont="1" applyFill="1" applyBorder="1" applyAlignment="1">
      <alignment vertical="center"/>
    </xf>
    <xf numFmtId="3" fontId="48" fillId="8" borderId="70" xfId="0" applyNumberFormat="1" applyFont="1" applyFill="1" applyBorder="1" applyAlignment="1">
      <alignment vertical="center"/>
    </xf>
    <xf numFmtId="3" fontId="48" fillId="8" borderId="15" xfId="0" applyNumberFormat="1" applyFont="1" applyFill="1" applyBorder="1" applyAlignment="1">
      <alignment vertical="center"/>
    </xf>
    <xf numFmtId="3" fontId="48" fillId="8" borderId="2" xfId="0" applyNumberFormat="1" applyFont="1" applyFill="1" applyBorder="1" applyAlignment="1">
      <alignment vertical="center"/>
    </xf>
    <xf numFmtId="3" fontId="58" fillId="0" borderId="47" xfId="0" applyNumberFormat="1" applyFont="1" applyFill="1" applyBorder="1" applyAlignment="1">
      <alignment horizontal="right" vertical="center"/>
    </xf>
    <xf numFmtId="3" fontId="58" fillId="0" borderId="72" xfId="0" applyNumberFormat="1" applyFont="1" applyFill="1" applyBorder="1" applyAlignment="1">
      <alignment horizontal="right" vertical="center"/>
    </xf>
    <xf numFmtId="3" fontId="35" fillId="0" borderId="47" xfId="0" applyNumberFormat="1" applyFont="1" applyFill="1" applyBorder="1" applyAlignment="1">
      <alignment horizontal="right" vertical="center"/>
    </xf>
    <xf numFmtId="43" fontId="54" fillId="6" borderId="29" xfId="1" applyFont="1" applyFill="1" applyBorder="1" applyAlignment="1">
      <alignment horizontal="right" vertical="center"/>
    </xf>
    <xf numFmtId="43" fontId="64" fillId="0" borderId="29" xfId="1" applyFont="1" applyFill="1" applyBorder="1" applyAlignment="1">
      <alignment horizontal="right" vertical="center"/>
    </xf>
    <xf numFmtId="0" fontId="52" fillId="0" borderId="32" xfId="4" applyFont="1" applyFill="1" applyBorder="1" applyAlignment="1">
      <alignment horizontal="left" vertical="center"/>
    </xf>
    <xf numFmtId="3" fontId="62" fillId="0" borderId="64" xfId="4" applyNumberFormat="1" applyFont="1" applyFill="1" applyBorder="1" applyAlignment="1">
      <alignment horizontal="right" vertical="center"/>
    </xf>
    <xf numFmtId="3" fontId="62" fillId="2" borderId="65" xfId="4" applyNumberFormat="1" applyFont="1" applyFill="1" applyBorder="1" applyAlignment="1">
      <alignment horizontal="right" vertical="center"/>
    </xf>
    <xf numFmtId="43" fontId="62" fillId="0" borderId="65" xfId="1" applyFont="1" applyFill="1" applyBorder="1" applyAlignment="1">
      <alignment horizontal="right" vertical="center"/>
    </xf>
    <xf numFmtId="43" fontId="62" fillId="0" borderId="30" xfId="1" applyFont="1" applyFill="1" applyBorder="1" applyAlignment="1">
      <alignment horizontal="right" vertical="center"/>
    </xf>
    <xf numFmtId="43" fontId="58" fillId="0" borderId="71" xfId="1" applyFont="1" applyFill="1" applyBorder="1" applyAlignment="1">
      <alignment horizontal="right" vertical="center"/>
    </xf>
    <xf numFmtId="43" fontId="62" fillId="0" borderId="47" xfId="1" applyFont="1" applyFill="1" applyBorder="1" applyAlignment="1">
      <alignment horizontal="right" vertical="center"/>
    </xf>
    <xf numFmtId="43" fontId="62" fillId="0" borderId="75" xfId="1" applyFont="1" applyFill="1" applyBorder="1" applyAlignment="1">
      <alignment horizontal="right" vertical="center"/>
    </xf>
    <xf numFmtId="0" fontId="14" fillId="18" borderId="3" xfId="0" applyFont="1" applyFill="1" applyBorder="1" applyAlignment="1">
      <alignment horizontal="center" vertical="center"/>
    </xf>
    <xf numFmtId="0" fontId="3" fillId="18" borderId="15" xfId="0" applyFont="1" applyFill="1" applyBorder="1" applyAlignment="1">
      <alignment vertical="center"/>
    </xf>
    <xf numFmtId="0" fontId="3" fillId="18" borderId="2" xfId="0" applyFont="1" applyFill="1" applyBorder="1" applyAlignment="1">
      <alignment vertical="center"/>
    </xf>
    <xf numFmtId="0" fontId="3" fillId="18" borderId="3" xfId="0" applyFont="1" applyFill="1" applyBorder="1" applyAlignment="1">
      <alignment vertical="center"/>
    </xf>
    <xf numFmtId="0" fontId="3" fillId="18" borderId="42" xfId="0" applyFont="1" applyFill="1" applyBorder="1" applyAlignment="1">
      <alignment vertical="center"/>
    </xf>
    <xf numFmtId="0" fontId="3" fillId="18" borderId="5" xfId="0" applyFont="1" applyFill="1" applyBorder="1" applyAlignment="1">
      <alignment vertical="center"/>
    </xf>
    <xf numFmtId="0" fontId="3" fillId="18" borderId="4" xfId="0" applyFont="1" applyFill="1" applyBorder="1" applyAlignment="1">
      <alignment vertical="center"/>
    </xf>
    <xf numFmtId="0" fontId="14" fillId="18" borderId="24" xfId="0" applyFont="1" applyFill="1" applyBorder="1" applyAlignment="1">
      <alignment horizontal="center" vertical="center"/>
    </xf>
    <xf numFmtId="3" fontId="14" fillId="18" borderId="12" xfId="0" applyNumberFormat="1" applyFont="1" applyFill="1" applyBorder="1" applyAlignment="1">
      <alignment vertical="center"/>
    </xf>
    <xf numFmtId="3" fontId="14" fillId="18" borderId="74" xfId="0" applyNumberFormat="1" applyFont="1" applyFill="1" applyBorder="1" applyAlignment="1">
      <alignment vertical="center"/>
    </xf>
    <xf numFmtId="3" fontId="14" fillId="18" borderId="41" xfId="0" applyNumberFormat="1" applyFont="1" applyFill="1" applyBorder="1" applyAlignment="1">
      <alignment vertical="center"/>
    </xf>
    <xf numFmtId="3" fontId="14" fillId="18" borderId="25" xfId="0" applyNumberFormat="1" applyFont="1" applyFill="1" applyBorder="1" applyAlignment="1">
      <alignment vertical="center"/>
    </xf>
    <xf numFmtId="3" fontId="14" fillId="18" borderId="23" xfId="0" applyNumberFormat="1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wrapText="1"/>
    </xf>
    <xf numFmtId="0" fontId="12" fillId="2" borderId="0" xfId="0" applyFont="1" applyFill="1" applyBorder="1" applyAlignment="1">
      <alignment horizontal="center" vertical="center" wrapText="1"/>
    </xf>
    <xf numFmtId="0" fontId="3" fillId="16" borderId="0" xfId="0" applyFont="1" applyFill="1" applyBorder="1"/>
    <xf numFmtId="3" fontId="3" fillId="8" borderId="0" xfId="0" applyNumberFormat="1" applyFont="1" applyFill="1" applyBorder="1"/>
    <xf numFmtId="3" fontId="13" fillId="16" borderId="0" xfId="0" applyNumberFormat="1" applyFont="1" applyFill="1" applyBorder="1" applyAlignment="1">
      <alignment horizontal="center"/>
    </xf>
    <xf numFmtId="3" fontId="3" fillId="8" borderId="0" xfId="0" applyNumberFormat="1" applyFont="1" applyFill="1" applyBorder="1" applyAlignment="1">
      <alignment vertical="center"/>
    </xf>
    <xf numFmtId="0" fontId="3" fillId="18" borderId="0" xfId="0" applyFont="1" applyFill="1" applyBorder="1" applyAlignment="1">
      <alignment vertical="center"/>
    </xf>
    <xf numFmtId="3" fontId="14" fillId="18" borderId="0" xfId="0" applyNumberFormat="1" applyFont="1" applyFill="1" applyBorder="1" applyAlignment="1">
      <alignment vertical="center"/>
    </xf>
    <xf numFmtId="3" fontId="19" fillId="11" borderId="0" xfId="0" applyNumberFormat="1" applyFont="1" applyFill="1" applyBorder="1"/>
    <xf numFmtId="3" fontId="37" fillId="18" borderId="0" xfId="0" applyNumberFormat="1" applyFont="1" applyFill="1" applyBorder="1" applyAlignment="1">
      <alignment vertical="top"/>
    </xf>
    <xf numFmtId="3" fontId="14" fillId="18" borderId="0" xfId="0" applyNumberFormat="1" applyFont="1" applyFill="1" applyBorder="1" applyAlignment="1">
      <alignment horizontal="center"/>
    </xf>
    <xf numFmtId="43" fontId="3" fillId="11" borderId="0" xfId="1" applyFont="1" applyFill="1" applyBorder="1"/>
    <xf numFmtId="43" fontId="3" fillId="11" borderId="0" xfId="1" applyFont="1" applyFill="1" applyBorder="1" applyAlignment="1">
      <alignment vertical="center"/>
    </xf>
    <xf numFmtId="3" fontId="3" fillId="18" borderId="0" xfId="0" applyNumberFormat="1" applyFont="1" applyFill="1" applyBorder="1"/>
    <xf numFmtId="3" fontId="64" fillId="25" borderId="10" xfId="6" applyNumberFormat="1" applyFont="1" applyFill="1" applyBorder="1" applyAlignment="1">
      <alignment horizontal="center" vertical="center"/>
    </xf>
    <xf numFmtId="3" fontId="64" fillId="25" borderId="74" xfId="6" applyNumberFormat="1" applyFont="1" applyFill="1" applyBorder="1" applyAlignment="1">
      <alignment horizontal="center" vertical="center"/>
    </xf>
    <xf numFmtId="3" fontId="58" fillId="26" borderId="10" xfId="4" applyNumberFormat="1" applyFont="1" applyFill="1" applyBorder="1" applyAlignment="1">
      <alignment horizontal="right" vertical="center"/>
    </xf>
    <xf numFmtId="3" fontId="58" fillId="27" borderId="10" xfId="4" applyNumberFormat="1" applyFont="1" applyFill="1" applyBorder="1" applyAlignment="1">
      <alignment horizontal="center" vertical="center"/>
    </xf>
    <xf numFmtId="3" fontId="35" fillId="26" borderId="0" xfId="4" applyNumberFormat="1" applyFont="1" applyFill="1" applyBorder="1" applyAlignment="1">
      <alignment horizontal="right" vertical="center"/>
    </xf>
    <xf numFmtId="3" fontId="66" fillId="26" borderId="0" xfId="4" applyNumberFormat="1" applyFont="1" applyFill="1" applyBorder="1" applyAlignment="1">
      <alignment horizontal="right" vertical="center"/>
    </xf>
    <xf numFmtId="3" fontId="52" fillId="26" borderId="0" xfId="4" applyNumberFormat="1" applyFont="1" applyFill="1" applyBorder="1" applyAlignment="1">
      <alignment horizontal="right" vertical="center"/>
    </xf>
    <xf numFmtId="3" fontId="51" fillId="23" borderId="10" xfId="4" applyNumberFormat="1" applyFont="1" applyFill="1" applyBorder="1" applyAlignment="1">
      <alignment horizontal="right" vertical="center"/>
    </xf>
    <xf numFmtId="3" fontId="52" fillId="26" borderId="74" xfId="4" applyNumberFormat="1" applyFont="1" applyFill="1" applyBorder="1" applyAlignment="1">
      <alignment horizontal="right" vertical="center"/>
    </xf>
    <xf numFmtId="3" fontId="35" fillId="24" borderId="2" xfId="112" applyNumberFormat="1" applyFont="1" applyFill="1" applyBorder="1" applyAlignment="1">
      <alignment vertical="top"/>
    </xf>
    <xf numFmtId="0" fontId="24" fillId="63" borderId="38" xfId="0" applyFont="1" applyFill="1" applyBorder="1" applyAlignment="1">
      <alignment vertical="center"/>
    </xf>
    <xf numFmtId="3" fontId="22" fillId="63" borderId="39" xfId="0" applyNumberFormat="1" applyFont="1" applyFill="1" applyBorder="1" applyAlignment="1">
      <alignment vertical="center" wrapText="1"/>
    </xf>
    <xf numFmtId="3" fontId="18" fillId="63" borderId="39" xfId="0" applyNumberFormat="1" applyFont="1" applyFill="1" applyBorder="1" applyAlignment="1">
      <alignment vertical="center" wrapText="1"/>
    </xf>
    <xf numFmtId="3" fontId="22" fillId="63" borderId="40" xfId="0" applyNumberFormat="1" applyFont="1" applyFill="1" applyBorder="1" applyAlignment="1">
      <alignment vertical="center" wrapText="1"/>
    </xf>
    <xf numFmtId="3" fontId="22" fillId="63" borderId="12" xfId="0" applyNumberFormat="1" applyFont="1" applyFill="1" applyBorder="1" applyAlignment="1">
      <alignment vertical="center" wrapText="1"/>
    </xf>
    <xf numFmtId="3" fontId="18" fillId="63" borderId="12" xfId="0" applyNumberFormat="1" applyFont="1" applyFill="1" applyBorder="1" applyAlignment="1">
      <alignment vertical="center" wrapText="1"/>
    </xf>
    <xf numFmtId="3" fontId="22" fillId="63" borderId="41" xfId="0" applyNumberFormat="1" applyFont="1" applyFill="1" applyBorder="1" applyAlignment="1">
      <alignment horizontal="center" vertical="center" wrapText="1"/>
    </xf>
    <xf numFmtId="0" fontId="17" fillId="0" borderId="66" xfId="0" quotePrefix="1" applyFont="1" applyBorder="1" applyAlignment="1">
      <alignment horizontal="center"/>
    </xf>
    <xf numFmtId="3" fontId="18" fillId="4" borderId="45" xfId="0" applyNumberFormat="1" applyFont="1" applyFill="1" applyBorder="1" applyAlignment="1">
      <alignment horizontal="right" vertical="center" wrapText="1"/>
    </xf>
    <xf numFmtId="3" fontId="14" fillId="4" borderId="36" xfId="0" applyNumberFormat="1" applyFont="1" applyFill="1" applyBorder="1" applyAlignment="1">
      <alignment horizontal="right" vertical="center" wrapText="1"/>
    </xf>
    <xf numFmtId="3" fontId="14" fillId="4" borderId="69" xfId="0" applyNumberFormat="1" applyFont="1" applyFill="1" applyBorder="1" applyAlignment="1">
      <alignment horizontal="right" vertical="center" wrapText="1"/>
    </xf>
    <xf numFmtId="3" fontId="17" fillId="0" borderId="36" xfId="0" applyNumberFormat="1" applyFont="1" applyFill="1" applyBorder="1" applyAlignment="1">
      <alignment vertical="center" wrapText="1"/>
    </xf>
    <xf numFmtId="3" fontId="21" fillId="8" borderId="36" xfId="0" applyNumberFormat="1" applyFont="1" applyFill="1" applyBorder="1" applyAlignment="1">
      <alignment horizontal="right" vertical="center" wrapText="1"/>
    </xf>
    <xf numFmtId="3" fontId="3" fillId="0" borderId="36" xfId="0" applyNumberFormat="1" applyFont="1" applyFill="1" applyBorder="1" applyAlignment="1">
      <alignment vertical="center" wrapText="1"/>
    </xf>
    <xf numFmtId="3" fontId="21" fillId="8" borderId="34" xfId="0" applyNumberFormat="1" applyFont="1" applyFill="1" applyBorder="1" applyAlignment="1">
      <alignment vertical="center" wrapText="1"/>
    </xf>
    <xf numFmtId="3" fontId="22" fillId="6" borderId="34" xfId="0" applyNumberFormat="1" applyFont="1" applyFill="1" applyBorder="1" applyAlignment="1">
      <alignment wrapText="1"/>
    </xf>
    <xf numFmtId="3" fontId="17" fillId="2" borderId="67" xfId="0" applyNumberFormat="1" applyFont="1" applyFill="1" applyBorder="1" applyAlignment="1">
      <alignment vertical="center" wrapText="1"/>
    </xf>
    <xf numFmtId="43" fontId="3" fillId="0" borderId="47" xfId="1" applyFont="1" applyFill="1" applyBorder="1" applyAlignment="1">
      <alignment vertical="center" wrapText="1"/>
    </xf>
    <xf numFmtId="3" fontId="3" fillId="0" borderId="47" xfId="0" applyNumberFormat="1" applyFont="1" applyFill="1" applyBorder="1" applyAlignment="1">
      <alignment vertical="center" wrapText="1"/>
    </xf>
    <xf numFmtId="3" fontId="3" fillId="2" borderId="69" xfId="0" applyNumberFormat="1" applyFont="1" applyFill="1" applyBorder="1" applyAlignment="1">
      <alignment vertical="center" wrapText="1"/>
    </xf>
    <xf numFmtId="3" fontId="133" fillId="0" borderId="0" xfId="0" applyNumberFormat="1" applyFont="1" applyFill="1" applyAlignment="1">
      <alignment vertical="center"/>
    </xf>
    <xf numFmtId="0" fontId="35" fillId="0" borderId="25" xfId="0" applyFont="1" applyFill="1" applyBorder="1" applyAlignment="1">
      <alignment horizontal="left" vertical="center"/>
    </xf>
    <xf numFmtId="3" fontId="3" fillId="8" borderId="35" xfId="0" applyNumberFormat="1" applyFont="1" applyFill="1" applyBorder="1"/>
    <xf numFmtId="3" fontId="22" fillId="63" borderId="80" xfId="0" applyNumberFormat="1" applyFont="1" applyFill="1" applyBorder="1" applyAlignment="1">
      <alignment vertical="center" wrapText="1"/>
    </xf>
    <xf numFmtId="3" fontId="22" fillId="63" borderId="69" xfId="0" applyNumberFormat="1" applyFont="1" applyFill="1" applyBorder="1" applyAlignment="1">
      <alignment vertical="center" wrapText="1"/>
    </xf>
    <xf numFmtId="0" fontId="13" fillId="0" borderId="63" xfId="0" applyFont="1" applyBorder="1" applyAlignment="1">
      <alignment horizontal="center" vertical="center"/>
    </xf>
    <xf numFmtId="3" fontId="17" fillId="0" borderId="4" xfId="0" quotePrefix="1" applyNumberFormat="1" applyFont="1" applyBorder="1" applyAlignment="1">
      <alignment horizontal="center"/>
    </xf>
    <xf numFmtId="3" fontId="17" fillId="0" borderId="35" xfId="0" applyNumberFormat="1" applyFont="1" applyFill="1" applyBorder="1" applyAlignment="1">
      <alignment vertical="center" wrapText="1"/>
    </xf>
    <xf numFmtId="43" fontId="3" fillId="2" borderId="35" xfId="1" applyFont="1" applyFill="1" applyBorder="1" applyAlignment="1">
      <alignment vertical="center" wrapText="1"/>
    </xf>
    <xf numFmtId="43" fontId="3" fillId="0" borderId="23" xfId="1" applyFont="1" applyFill="1" applyBorder="1" applyAlignment="1">
      <alignment vertical="center" wrapText="1"/>
    </xf>
    <xf numFmtId="43" fontId="3" fillId="0" borderId="12" xfId="1" applyFont="1" applyFill="1" applyBorder="1" applyAlignment="1">
      <alignment vertical="center" wrapText="1"/>
    </xf>
    <xf numFmtId="3" fontId="55" fillId="6" borderId="65" xfId="4" applyNumberFormat="1" applyFont="1" applyFill="1" applyBorder="1" applyAlignment="1"/>
    <xf numFmtId="3" fontId="64" fillId="0" borderId="13" xfId="6" applyNumberFormat="1" applyFont="1" applyFill="1" applyBorder="1" applyAlignment="1">
      <alignment vertical="center"/>
    </xf>
    <xf numFmtId="3" fontId="49" fillId="8" borderId="0" xfId="4" applyNumberFormat="1" applyFont="1" applyFill="1" applyBorder="1" applyAlignment="1">
      <alignment horizontal="right" vertical="center"/>
    </xf>
    <xf numFmtId="3" fontId="57" fillId="6" borderId="0" xfId="6" applyNumberFormat="1" applyFont="1" applyFill="1" applyBorder="1" applyAlignment="1">
      <alignment horizontal="right" vertical="center"/>
    </xf>
    <xf numFmtId="3" fontId="67" fillId="0" borderId="0" xfId="6" applyNumberFormat="1" applyFont="1" applyFill="1" applyBorder="1" applyAlignment="1">
      <alignment horizontal="right" vertical="center"/>
    </xf>
    <xf numFmtId="3" fontId="52" fillId="0" borderId="24" xfId="4" applyNumberFormat="1" applyFont="1" applyFill="1" applyBorder="1" applyAlignment="1">
      <alignment horizontal="right" vertical="center"/>
    </xf>
    <xf numFmtId="3" fontId="64" fillId="0" borderId="0" xfId="6" applyNumberFormat="1" applyFont="1" applyFill="1" applyBorder="1" applyAlignment="1">
      <alignment horizontal="right" vertical="center"/>
    </xf>
    <xf numFmtId="3" fontId="54" fillId="6" borderId="0" xfId="6" applyNumberFormat="1" applyFont="1" applyFill="1" applyBorder="1" applyAlignment="1">
      <alignment horizontal="right" vertical="center"/>
    </xf>
    <xf numFmtId="3" fontId="35" fillId="13" borderId="79" xfId="4" applyNumberFormat="1" applyFont="1" applyFill="1" applyBorder="1" applyAlignment="1">
      <alignment horizontal="right" vertical="center"/>
    </xf>
    <xf numFmtId="3" fontId="35" fillId="13" borderId="18" xfId="4" applyNumberFormat="1" applyFont="1" applyFill="1" applyBorder="1" applyAlignment="1">
      <alignment horizontal="right" vertical="center"/>
    </xf>
    <xf numFmtId="3" fontId="35" fillId="0" borderId="71" xfId="4" applyNumberFormat="1" applyFont="1" applyFill="1" applyBorder="1" applyAlignment="1">
      <alignment horizontal="right" vertical="center"/>
    </xf>
    <xf numFmtId="3" fontId="56" fillId="6" borderId="63" xfId="0" applyNumberFormat="1" applyFont="1" applyFill="1" applyBorder="1" applyAlignment="1">
      <alignment vertical="top"/>
    </xf>
    <xf numFmtId="3" fontId="58" fillId="2" borderId="13" xfId="0" applyNumberFormat="1" applyFont="1" applyFill="1" applyBorder="1" applyAlignment="1">
      <alignment vertical="top"/>
    </xf>
    <xf numFmtId="3" fontId="58" fillId="0" borderId="13" xfId="0" applyNumberFormat="1" applyFont="1" applyFill="1" applyBorder="1" applyAlignment="1">
      <alignment vertical="top"/>
    </xf>
    <xf numFmtId="3" fontId="56" fillId="6" borderId="30" xfId="0" applyNumberFormat="1" applyFont="1" applyFill="1" applyBorder="1" applyAlignment="1">
      <alignment vertical="center"/>
    </xf>
    <xf numFmtId="3" fontId="56" fillId="23" borderId="30" xfId="0" applyNumberFormat="1" applyFont="1" applyFill="1" applyBorder="1" applyAlignment="1">
      <alignment vertical="center"/>
    </xf>
    <xf numFmtId="3" fontId="56" fillId="26" borderId="30" xfId="0" applyNumberFormat="1" applyFont="1" applyFill="1" applyBorder="1" applyAlignment="1">
      <alignment vertical="center"/>
    </xf>
    <xf numFmtId="3" fontId="35" fillId="24" borderId="63" xfId="0" applyNumberFormat="1" applyFont="1" applyFill="1" applyBorder="1" applyAlignment="1">
      <alignment vertical="top"/>
    </xf>
    <xf numFmtId="3" fontId="56" fillId="24" borderId="30" xfId="0" applyNumberFormat="1" applyFont="1" applyFill="1" applyBorder="1" applyAlignment="1">
      <alignment horizontal="center" vertical="center"/>
    </xf>
    <xf numFmtId="0" fontId="35" fillId="24" borderId="15" xfId="0" applyFont="1" applyFill="1" applyBorder="1" applyAlignment="1">
      <alignment vertical="center"/>
    </xf>
    <xf numFmtId="3" fontId="62" fillId="26" borderId="35" xfId="0" applyNumberFormat="1" applyFont="1" applyFill="1" applyBorder="1" applyAlignment="1">
      <alignment vertical="top"/>
    </xf>
    <xf numFmtId="3" fontId="56" fillId="0" borderId="0" xfId="0" applyNumberFormat="1" applyFont="1" applyFill="1" applyBorder="1" applyAlignment="1">
      <alignment horizontal="center" vertical="center"/>
    </xf>
    <xf numFmtId="0" fontId="55" fillId="2" borderId="24" xfId="0" applyFont="1" applyFill="1" applyBorder="1" applyAlignment="1">
      <alignment horizontal="left" vertical="top" wrapText="1"/>
    </xf>
    <xf numFmtId="0" fontId="35" fillId="24" borderId="70" xfId="0" applyFont="1" applyFill="1" applyBorder="1" applyAlignment="1">
      <alignment vertical="center"/>
    </xf>
    <xf numFmtId="3" fontId="35" fillId="24" borderId="30" xfId="0" applyNumberFormat="1" applyFont="1" applyFill="1" applyBorder="1" applyAlignment="1">
      <alignment horizontal="center" vertical="top"/>
    </xf>
    <xf numFmtId="3" fontId="67" fillId="0" borderId="13" xfId="6" applyNumberFormat="1" applyFont="1" applyFill="1" applyBorder="1" applyAlignment="1">
      <alignment vertical="center"/>
    </xf>
    <xf numFmtId="3" fontId="55" fillId="6" borderId="27" xfId="4" applyNumberFormat="1" applyFont="1" applyFill="1" applyBorder="1" applyAlignment="1"/>
    <xf numFmtId="0" fontId="137" fillId="33" borderId="13" xfId="0" applyFont="1" applyFill="1" applyBorder="1" applyAlignment="1">
      <alignment horizontal="center" vertical="center"/>
    </xf>
    <xf numFmtId="3" fontId="132" fillId="33" borderId="15" xfId="0" quotePrefix="1" applyNumberFormat="1" applyFont="1" applyFill="1" applyBorder="1" applyAlignment="1">
      <alignment horizontal="center"/>
    </xf>
    <xf numFmtId="3" fontId="138" fillId="33" borderId="17" xfId="0" applyNumberFormat="1" applyFont="1" applyFill="1" applyBorder="1" applyAlignment="1">
      <alignment horizontal="right" vertical="center" wrapText="1"/>
    </xf>
    <xf numFmtId="3" fontId="137" fillId="33" borderId="9" xfId="0" quotePrefix="1" applyNumberFormat="1" applyFont="1" applyFill="1" applyBorder="1" applyAlignment="1">
      <alignment horizontal="right" vertical="center"/>
    </xf>
    <xf numFmtId="3" fontId="137" fillId="33" borderId="23" xfId="0" quotePrefix="1" applyNumberFormat="1" applyFont="1" applyFill="1" applyBorder="1" applyAlignment="1">
      <alignment horizontal="right" vertical="center"/>
    </xf>
    <xf numFmtId="3" fontId="132" fillId="33" borderId="0" xfId="0" applyNumberFormat="1" applyFont="1" applyFill="1" applyBorder="1" applyAlignment="1">
      <alignment vertical="center" wrapText="1"/>
    </xf>
    <xf numFmtId="3" fontId="138" fillId="33" borderId="30" xfId="0" applyNumberFormat="1" applyFont="1" applyFill="1" applyBorder="1" applyAlignment="1">
      <alignment horizontal="right" vertical="center" wrapText="1"/>
    </xf>
    <xf numFmtId="3" fontId="139" fillId="33" borderId="9" xfId="0" applyNumberFormat="1" applyFont="1" applyFill="1" applyBorder="1" applyAlignment="1">
      <alignment horizontal="right" vertical="center" wrapText="1"/>
    </xf>
    <xf numFmtId="3" fontId="133" fillId="33" borderId="9" xfId="0" applyNumberFormat="1" applyFont="1" applyFill="1" applyBorder="1" applyAlignment="1">
      <alignment vertical="center" wrapText="1"/>
    </xf>
    <xf numFmtId="3" fontId="133" fillId="33" borderId="29" xfId="0" applyNumberFormat="1" applyFont="1" applyFill="1" applyBorder="1" applyAlignment="1">
      <alignment vertical="center" wrapText="1"/>
    </xf>
    <xf numFmtId="3" fontId="133" fillId="33" borderId="30" xfId="0" applyNumberFormat="1" applyFont="1" applyFill="1" applyBorder="1" applyAlignment="1">
      <alignment vertical="center" wrapText="1"/>
    </xf>
    <xf numFmtId="3" fontId="133" fillId="33" borderId="27" xfId="0" applyNumberFormat="1" applyFont="1" applyFill="1" applyBorder="1" applyAlignment="1">
      <alignment vertical="center" wrapText="1"/>
    </xf>
    <xf numFmtId="3" fontId="139" fillId="33" borderId="29" xfId="0" applyNumberFormat="1" applyFont="1" applyFill="1" applyBorder="1" applyAlignment="1">
      <alignment vertical="center" wrapText="1"/>
    </xf>
    <xf numFmtId="3" fontId="138" fillId="33" borderId="30" xfId="0" applyNumberFormat="1" applyFont="1" applyFill="1" applyBorder="1" applyAlignment="1">
      <alignment wrapText="1"/>
    </xf>
    <xf numFmtId="43" fontId="133" fillId="33" borderId="27" xfId="1" applyFont="1" applyFill="1" applyBorder="1" applyAlignment="1">
      <alignment vertical="center" wrapText="1"/>
    </xf>
    <xf numFmtId="3" fontId="139" fillId="33" borderId="30" xfId="0" applyNumberFormat="1" applyFont="1" applyFill="1" applyBorder="1" applyAlignment="1">
      <alignment vertical="center" wrapText="1"/>
    </xf>
    <xf numFmtId="3" fontId="132" fillId="33" borderId="9" xfId="0" applyNumberFormat="1" applyFont="1" applyFill="1" applyBorder="1" applyAlignment="1">
      <alignment vertical="center" wrapText="1"/>
    </xf>
    <xf numFmtId="3" fontId="138" fillId="33" borderId="39" xfId="0" applyNumberFormat="1" applyFont="1" applyFill="1" applyBorder="1" applyAlignment="1">
      <alignment vertical="center" wrapText="1"/>
    </xf>
    <xf numFmtId="3" fontId="138" fillId="33" borderId="12" xfId="0" applyNumberFormat="1" applyFont="1" applyFill="1" applyBorder="1" applyAlignment="1">
      <alignment vertical="center" wrapText="1"/>
    </xf>
    <xf numFmtId="3" fontId="137" fillId="33" borderId="47" xfId="0" quotePrefix="1" applyNumberFormat="1" applyFont="1" applyFill="1" applyBorder="1" applyAlignment="1">
      <alignment horizontal="right"/>
    </xf>
    <xf numFmtId="3" fontId="139" fillId="33" borderId="35" xfId="0" applyNumberFormat="1" applyFont="1" applyFill="1" applyBorder="1" applyAlignment="1">
      <alignment horizontal="right" vertical="center" wrapText="1"/>
    </xf>
    <xf numFmtId="3" fontId="133" fillId="33" borderId="35" xfId="0" applyNumberFormat="1" applyFont="1" applyFill="1" applyBorder="1" applyAlignment="1">
      <alignment vertical="center" wrapText="1"/>
    </xf>
    <xf numFmtId="3" fontId="138" fillId="33" borderId="30" xfId="0" applyNumberFormat="1" applyFont="1" applyFill="1" applyBorder="1" applyAlignment="1">
      <alignment vertical="center" wrapText="1"/>
    </xf>
    <xf numFmtId="3" fontId="133" fillId="33" borderId="47" xfId="0" applyNumberFormat="1" applyFont="1" applyFill="1" applyBorder="1" applyAlignment="1">
      <alignment vertical="center" wrapText="1"/>
    </xf>
    <xf numFmtId="3" fontId="138" fillId="33" borderId="0" xfId="0" applyNumberFormat="1" applyFont="1" applyFill="1" applyBorder="1" applyAlignment="1">
      <alignment vertical="center" wrapText="1"/>
    </xf>
    <xf numFmtId="3" fontId="138" fillId="33" borderId="54" xfId="0" applyNumberFormat="1" applyFont="1" applyFill="1" applyBorder="1" applyAlignment="1">
      <alignment vertical="center" wrapText="1"/>
    </xf>
    <xf numFmtId="3" fontId="140" fillId="33" borderId="35" xfId="0" applyNumberFormat="1" applyFont="1" applyFill="1" applyBorder="1" applyAlignment="1">
      <alignment vertical="center" wrapText="1"/>
    </xf>
    <xf numFmtId="3" fontId="138" fillId="33" borderId="58" xfId="0" applyNumberFormat="1" applyFont="1" applyFill="1" applyBorder="1" applyAlignment="1">
      <alignment vertical="center" wrapText="1"/>
    </xf>
    <xf numFmtId="3" fontId="3" fillId="2" borderId="49" xfId="0" applyNumberFormat="1" applyFont="1" applyFill="1" applyBorder="1" applyAlignment="1">
      <alignment vertical="center" wrapText="1"/>
    </xf>
    <xf numFmtId="3" fontId="23" fillId="8" borderId="36" xfId="0" applyNumberFormat="1" applyFont="1" applyFill="1" applyBorder="1" applyAlignment="1">
      <alignment vertical="center" wrapText="1"/>
    </xf>
    <xf numFmtId="0" fontId="51" fillId="33" borderId="12" xfId="4" applyFont="1" applyFill="1" applyBorder="1" applyAlignment="1">
      <alignment horizontal="center" vertical="center" wrapText="1"/>
    </xf>
    <xf numFmtId="0" fontId="56" fillId="33" borderId="12" xfId="4" applyFont="1" applyFill="1" applyBorder="1" applyAlignment="1">
      <alignment horizontal="center" vertical="center" wrapText="1"/>
    </xf>
    <xf numFmtId="0" fontId="75" fillId="2" borderId="0" xfId="0" applyFont="1" applyFill="1" applyBorder="1" applyAlignment="1">
      <alignment horizontal="center" wrapText="1"/>
    </xf>
    <xf numFmtId="3" fontId="55" fillId="24" borderId="70" xfId="4" applyNumberFormat="1" applyFont="1" applyFill="1" applyBorder="1" applyAlignment="1">
      <alignment horizontal="right" vertical="center"/>
    </xf>
    <xf numFmtId="3" fontId="62" fillId="26" borderId="12" xfId="0" applyNumberFormat="1" applyFont="1" applyFill="1" applyBorder="1" applyAlignment="1">
      <alignment vertical="center"/>
    </xf>
    <xf numFmtId="0" fontId="58" fillId="57" borderId="17" xfId="4" applyFont="1" applyFill="1" applyBorder="1" applyAlignment="1">
      <alignment horizontal="left" vertical="center"/>
    </xf>
    <xf numFmtId="3" fontId="35" fillId="8" borderId="76" xfId="4" applyNumberFormat="1" applyFont="1" applyFill="1" applyBorder="1" applyAlignment="1">
      <alignment vertical="top" wrapText="1"/>
    </xf>
    <xf numFmtId="3" fontId="63" fillId="8" borderId="37" xfId="6" applyNumberFormat="1" applyFont="1" applyFill="1" applyBorder="1" applyAlignment="1">
      <alignment vertical="center"/>
    </xf>
    <xf numFmtId="0" fontId="141" fillId="2" borderId="0" xfId="0" applyFont="1" applyFill="1" applyBorder="1" applyAlignment="1">
      <alignment horizontal="center" wrapText="1"/>
    </xf>
    <xf numFmtId="0" fontId="142" fillId="0" borderId="13" xfId="0" applyFont="1" applyBorder="1" applyAlignment="1">
      <alignment horizontal="center" vertical="center"/>
    </xf>
    <xf numFmtId="3" fontId="131" fillId="0" borderId="39" xfId="0" quotePrefix="1" applyNumberFormat="1" applyFont="1" applyBorder="1" applyAlignment="1">
      <alignment horizontal="center" vertical="center"/>
    </xf>
    <xf numFmtId="0" fontId="143" fillId="0" borderId="0" xfId="0" applyFont="1" applyBorder="1"/>
    <xf numFmtId="3" fontId="143" fillId="0" borderId="0" xfId="0" applyNumberFormat="1" applyFont="1" applyBorder="1"/>
    <xf numFmtId="0" fontId="143" fillId="0" borderId="3" xfId="0" applyFont="1" applyBorder="1"/>
    <xf numFmtId="0" fontId="143" fillId="0" borderId="24" xfId="0" applyFont="1" applyBorder="1"/>
    <xf numFmtId="3" fontId="128" fillId="39" borderId="39" xfId="0" applyNumberFormat="1" applyFont="1" applyFill="1" applyBorder="1" applyAlignment="1">
      <alignment vertical="center" wrapText="1"/>
    </xf>
    <xf numFmtId="3" fontId="128" fillId="6" borderId="39" xfId="0" applyNumberFormat="1" applyFont="1" applyFill="1" applyBorder="1" applyAlignment="1">
      <alignment vertical="center" wrapText="1"/>
    </xf>
    <xf numFmtId="3" fontId="135" fillId="0" borderId="0" xfId="0" applyNumberFormat="1" applyFont="1" applyBorder="1"/>
    <xf numFmtId="3" fontId="128" fillId="2" borderId="15" xfId="0" applyNumberFormat="1" applyFont="1" applyFill="1" applyBorder="1" applyAlignment="1">
      <alignment vertical="center" wrapText="1"/>
    </xf>
    <xf numFmtId="3" fontId="144" fillId="4" borderId="35" xfId="0" applyNumberFormat="1" applyFont="1" applyFill="1" applyBorder="1" applyAlignment="1">
      <alignment vertical="center" wrapText="1"/>
    </xf>
    <xf numFmtId="3" fontId="144" fillId="6" borderId="30" xfId="0" applyNumberFormat="1" applyFont="1" applyFill="1" applyBorder="1" applyAlignment="1">
      <alignment vertical="center" wrapText="1"/>
    </xf>
    <xf numFmtId="3" fontId="144" fillId="4" borderId="30" xfId="0" applyNumberFormat="1" applyFont="1" applyFill="1" applyBorder="1" applyAlignment="1">
      <alignment vertical="center" wrapText="1"/>
    </xf>
    <xf numFmtId="3" fontId="128" fillId="39" borderId="12" xfId="0" applyNumberFormat="1" applyFont="1" applyFill="1" applyBorder="1" applyAlignment="1">
      <alignment vertical="center" wrapText="1"/>
    </xf>
    <xf numFmtId="0" fontId="136" fillId="0" borderId="0" xfId="0" applyFont="1" applyBorder="1"/>
    <xf numFmtId="0" fontId="145" fillId="39" borderId="89" xfId="4" applyFont="1" applyFill="1" applyBorder="1" applyAlignment="1">
      <alignment horizontal="left" vertical="center"/>
    </xf>
    <xf numFmtId="0" fontId="129" fillId="39" borderId="50" xfId="0" applyFont="1" applyFill="1" applyBorder="1" applyAlignment="1">
      <alignment vertical="center"/>
    </xf>
    <xf numFmtId="3" fontId="128" fillId="40" borderId="40" xfId="0" applyNumberFormat="1" applyFont="1" applyFill="1" applyBorder="1" applyAlignment="1">
      <alignment vertical="center" wrapText="1"/>
    </xf>
    <xf numFmtId="3" fontId="128" fillId="41" borderId="40" xfId="0" applyNumberFormat="1" applyFont="1" applyFill="1" applyBorder="1" applyAlignment="1">
      <alignment horizontal="center" vertical="center" wrapText="1"/>
    </xf>
    <xf numFmtId="3" fontId="128" fillId="0" borderId="42" xfId="0" applyNumberFormat="1" applyFont="1" applyFill="1" applyBorder="1" applyAlignment="1">
      <alignment horizontal="center" vertical="center" wrapText="1"/>
    </xf>
    <xf numFmtId="3" fontId="148" fillId="42" borderId="46" xfId="0" applyNumberFormat="1" applyFont="1" applyFill="1" applyBorder="1" applyAlignment="1">
      <alignment vertical="center" wrapText="1"/>
    </xf>
    <xf numFmtId="3" fontId="128" fillId="43" borderId="49" xfId="0" applyNumberFormat="1" applyFont="1" applyFill="1" applyBorder="1" applyAlignment="1">
      <alignment horizontal="center" vertical="center" wrapText="1"/>
    </xf>
    <xf numFmtId="0" fontId="135" fillId="0" borderId="0" xfId="0" applyFont="1" applyAlignment="1">
      <alignment horizontal="center" vertical="center"/>
    </xf>
    <xf numFmtId="0" fontId="135" fillId="0" borderId="0" xfId="0" applyFont="1" applyBorder="1"/>
    <xf numFmtId="3" fontId="74" fillId="0" borderId="42" xfId="0" applyNumberFormat="1" applyFont="1" applyFill="1" applyBorder="1" applyAlignment="1">
      <alignment horizontal="center" vertical="center" wrapText="1"/>
    </xf>
    <xf numFmtId="3" fontId="55" fillId="6" borderId="64" xfId="4" applyNumberFormat="1" applyFont="1" applyFill="1" applyBorder="1" applyAlignment="1"/>
    <xf numFmtId="0" fontId="55" fillId="13" borderId="36" xfId="4" applyFont="1" applyFill="1" applyBorder="1" applyAlignment="1">
      <alignment vertical="center" wrapText="1"/>
    </xf>
    <xf numFmtId="3" fontId="62" fillId="0" borderId="30" xfId="4" applyNumberFormat="1" applyFont="1" applyFill="1" applyBorder="1" applyAlignment="1"/>
    <xf numFmtId="3" fontId="64" fillId="26" borderId="10" xfId="6" applyNumberFormat="1" applyFont="1" applyFill="1" applyBorder="1" applyAlignment="1">
      <alignment vertical="center"/>
    </xf>
    <xf numFmtId="3" fontId="62" fillId="26" borderId="10" xfId="4" applyNumberFormat="1" applyFont="1" applyFill="1" applyBorder="1" applyAlignment="1">
      <alignment horizontal="right" vertical="center"/>
    </xf>
    <xf numFmtId="3" fontId="62" fillId="26" borderId="8" xfId="4" applyNumberFormat="1" applyFont="1" applyFill="1" applyBorder="1" applyAlignment="1">
      <alignment horizontal="right" vertical="center"/>
    </xf>
    <xf numFmtId="3" fontId="62" fillId="0" borderId="72" xfId="4" applyNumberFormat="1" applyFont="1" applyFill="1" applyBorder="1" applyAlignment="1"/>
    <xf numFmtId="3" fontId="62" fillId="0" borderId="47" xfId="4" applyNumberFormat="1" applyFont="1" applyFill="1" applyBorder="1" applyAlignment="1"/>
    <xf numFmtId="0" fontId="55" fillId="8" borderId="19" xfId="4" applyFont="1" applyFill="1" applyBorder="1" applyAlignment="1">
      <alignment vertical="top" wrapText="1"/>
    </xf>
    <xf numFmtId="3" fontId="62" fillId="0" borderId="71" xfId="4" applyNumberFormat="1" applyFont="1" applyFill="1" applyBorder="1" applyAlignment="1">
      <alignment horizontal="right" vertical="center"/>
    </xf>
    <xf numFmtId="3" fontId="56" fillId="24" borderId="2" xfId="4" applyNumberFormat="1" applyFont="1" applyFill="1" applyBorder="1" applyAlignment="1">
      <alignment horizontal="right" vertical="center"/>
    </xf>
    <xf numFmtId="3" fontId="35" fillId="2" borderId="74" xfId="4" applyNumberFormat="1" applyFont="1" applyFill="1" applyBorder="1" applyAlignment="1"/>
    <xf numFmtId="43" fontId="62" fillId="0" borderId="29" xfId="1" applyFont="1" applyFill="1" applyBorder="1" applyAlignment="1"/>
    <xf numFmtId="43" fontId="62" fillId="0" borderId="72" xfId="1" applyFont="1" applyFill="1" applyBorder="1" applyAlignment="1"/>
    <xf numFmtId="3" fontId="35" fillId="2" borderId="65" xfId="4" applyNumberFormat="1" applyFont="1" applyFill="1" applyBorder="1" applyAlignment="1"/>
    <xf numFmtId="3" fontId="60" fillId="2" borderId="71" xfId="4" applyNumberFormat="1" applyFont="1" applyFill="1" applyBorder="1" applyAlignment="1"/>
    <xf numFmtId="3" fontId="35" fillId="0" borderId="71" xfId="0" applyNumberFormat="1" applyFont="1" applyFill="1" applyBorder="1" applyAlignment="1">
      <alignment horizontal="right" vertical="center"/>
    </xf>
    <xf numFmtId="3" fontId="35" fillId="0" borderId="74" xfId="0" applyNumberFormat="1" applyFont="1" applyFill="1" applyBorder="1" applyAlignment="1">
      <alignment horizontal="right" vertical="center"/>
    </xf>
    <xf numFmtId="0" fontId="48" fillId="8" borderId="45" xfId="4" applyFont="1" applyFill="1" applyBorder="1" applyAlignment="1">
      <alignment vertical="top" wrapText="1"/>
    </xf>
    <xf numFmtId="0" fontId="52" fillId="0" borderId="77" xfId="4" applyFont="1" applyFill="1" applyBorder="1" applyAlignment="1">
      <alignment horizontal="left" vertical="center"/>
    </xf>
    <xf numFmtId="0" fontId="44" fillId="0" borderId="0" xfId="112" applyFont="1" applyFill="1" applyAlignment="1">
      <alignment horizontal="left"/>
    </xf>
    <xf numFmtId="0" fontId="57" fillId="33" borderId="12" xfId="114" applyFont="1" applyFill="1" applyBorder="1" applyAlignment="1">
      <alignment horizontal="center" vertical="center"/>
    </xf>
    <xf numFmtId="0" fontId="55" fillId="8" borderId="16" xfId="0" applyFont="1" applyFill="1" applyBorder="1" applyAlignment="1">
      <alignment horizontal="center" vertical="center" wrapText="1"/>
    </xf>
    <xf numFmtId="0" fontId="0" fillId="0" borderId="33" xfId="0" applyFont="1" applyBorder="1"/>
    <xf numFmtId="0" fontId="0" fillId="0" borderId="25" xfId="0" applyFont="1" applyBorder="1" applyAlignment="1">
      <alignment vertical="center"/>
    </xf>
    <xf numFmtId="3" fontId="58" fillId="2" borderId="31" xfId="4" applyNumberFormat="1" applyFont="1" applyFill="1" applyBorder="1" applyAlignment="1">
      <alignment vertical="center" wrapText="1"/>
    </xf>
    <xf numFmtId="3" fontId="35" fillId="24" borderId="72" xfId="4" applyNumberFormat="1" applyFont="1" applyFill="1" applyBorder="1" applyAlignment="1">
      <alignment vertical="center"/>
    </xf>
    <xf numFmtId="0" fontId="56" fillId="6" borderId="29" xfId="4" applyFont="1" applyFill="1" applyBorder="1" applyAlignment="1">
      <alignment vertical="center"/>
    </xf>
    <xf numFmtId="3" fontId="14" fillId="15" borderId="39" xfId="0" applyNumberFormat="1" applyFont="1" applyFill="1" applyBorder="1" applyAlignment="1">
      <alignment vertical="center"/>
    </xf>
    <xf numFmtId="3" fontId="14" fillId="15" borderId="78" xfId="0" applyNumberFormat="1" applyFont="1" applyFill="1" applyBorder="1" applyAlignment="1">
      <alignment vertical="center"/>
    </xf>
    <xf numFmtId="3" fontId="14" fillId="15" borderId="52" xfId="0" applyNumberFormat="1" applyFont="1" applyFill="1" applyBorder="1" applyAlignment="1">
      <alignment vertical="center"/>
    </xf>
    <xf numFmtId="3" fontId="14" fillId="15" borderId="50" xfId="0" applyNumberFormat="1" applyFont="1" applyFill="1" applyBorder="1" applyAlignment="1">
      <alignment vertical="center"/>
    </xf>
    <xf numFmtId="3" fontId="14" fillId="16" borderId="12" xfId="5" applyNumberFormat="1" applyFont="1" applyFill="1" applyBorder="1" applyAlignment="1">
      <alignment vertical="center"/>
    </xf>
    <xf numFmtId="3" fontId="14" fillId="16" borderId="41" xfId="5" applyNumberFormat="1" applyFont="1" applyFill="1" applyBorder="1" applyAlignment="1">
      <alignment vertical="center"/>
    </xf>
    <xf numFmtId="3" fontId="14" fillId="16" borderId="25" xfId="5" applyNumberFormat="1" applyFont="1" applyFill="1" applyBorder="1" applyAlignment="1">
      <alignment vertical="center"/>
    </xf>
    <xf numFmtId="3" fontId="14" fillId="16" borderId="23" xfId="5" applyNumberFormat="1" applyFont="1" applyFill="1" applyBorder="1" applyAlignment="1">
      <alignment vertical="center"/>
    </xf>
    <xf numFmtId="3" fontId="14" fillId="16" borderId="24" xfId="5" applyNumberFormat="1" applyFont="1" applyFill="1" applyBorder="1" applyAlignment="1">
      <alignment vertical="center"/>
    </xf>
    <xf numFmtId="43" fontId="62" fillId="0" borderId="72" xfId="1" applyFont="1" applyFill="1" applyBorder="1" applyAlignment="1">
      <alignment horizontal="right" vertical="center"/>
    </xf>
    <xf numFmtId="43" fontId="55" fillId="8" borderId="2" xfId="1" applyFont="1" applyFill="1" applyBorder="1" applyAlignment="1">
      <alignment horizontal="right" vertical="center"/>
    </xf>
    <xf numFmtId="43" fontId="62" fillId="0" borderId="27" xfId="1" applyFont="1" applyFill="1" applyBorder="1" applyAlignment="1">
      <alignment horizontal="right" vertical="center"/>
    </xf>
    <xf numFmtId="0" fontId="13" fillId="2" borderId="2" xfId="0" applyFont="1" applyFill="1" applyBorder="1" applyAlignment="1">
      <alignment vertical="center" wrapText="1"/>
    </xf>
    <xf numFmtId="0" fontId="13" fillId="2" borderId="3" xfId="0" applyFont="1" applyFill="1" applyBorder="1" applyAlignment="1">
      <alignment vertical="center" wrapText="1"/>
    </xf>
    <xf numFmtId="0" fontId="13" fillId="2" borderId="7" xfId="0" applyFont="1" applyFill="1" applyBorder="1" applyAlignment="1">
      <alignment vertical="center" wrapText="1"/>
    </xf>
    <xf numFmtId="0" fontId="13" fillId="2" borderId="8" xfId="0" applyFont="1" applyFill="1" applyBorder="1" applyAlignment="1">
      <alignment vertical="center" wrapText="1"/>
    </xf>
    <xf numFmtId="0" fontId="50" fillId="2" borderId="2" xfId="0" applyFont="1" applyFill="1" applyBorder="1" applyAlignment="1">
      <alignment vertical="center" wrapText="1"/>
    </xf>
    <xf numFmtId="0" fontId="50" fillId="2" borderId="3" xfId="0" applyFont="1" applyFill="1" applyBorder="1" applyAlignment="1">
      <alignment vertical="center" wrapText="1"/>
    </xf>
    <xf numFmtId="0" fontId="50" fillId="2" borderId="3" xfId="112" applyFont="1" applyFill="1" applyBorder="1" applyAlignment="1">
      <alignment vertical="center" wrapText="1"/>
    </xf>
    <xf numFmtId="0" fontId="50" fillId="2" borderId="8" xfId="112" applyFont="1" applyFill="1" applyBorder="1" applyAlignment="1">
      <alignment vertical="center" wrapText="1"/>
    </xf>
    <xf numFmtId="3" fontId="58" fillId="0" borderId="98" xfId="4" applyNumberFormat="1" applyFont="1" applyFill="1" applyBorder="1" applyAlignment="1">
      <alignment horizontal="right" vertical="center"/>
    </xf>
    <xf numFmtId="3" fontId="58" fillId="0" borderId="100" xfId="4" applyNumberFormat="1" applyFont="1" applyFill="1" applyBorder="1" applyAlignment="1">
      <alignment horizontal="right" vertical="center"/>
    </xf>
    <xf numFmtId="43" fontId="64" fillId="0" borderId="100" xfId="1" applyFont="1" applyFill="1" applyBorder="1" applyAlignment="1">
      <alignment horizontal="right" vertical="center"/>
    </xf>
    <xf numFmtId="3" fontId="58" fillId="26" borderId="100" xfId="4" applyNumberFormat="1" applyFont="1" applyFill="1" applyBorder="1" applyAlignment="1">
      <alignment horizontal="right" vertical="center"/>
    </xf>
    <xf numFmtId="0" fontId="49" fillId="0" borderId="101" xfId="4" applyFont="1" applyFill="1" applyBorder="1" applyAlignment="1">
      <alignment vertical="top"/>
    </xf>
    <xf numFmtId="3" fontId="62" fillId="0" borderId="102" xfId="4" applyNumberFormat="1" applyFont="1" applyFill="1" applyBorder="1" applyAlignment="1"/>
    <xf numFmtId="3" fontId="62" fillId="0" borderId="98" xfId="4" applyNumberFormat="1" applyFont="1" applyFill="1" applyBorder="1" applyAlignment="1">
      <alignment horizontal="right" vertical="center"/>
    </xf>
    <xf numFmtId="3" fontId="35" fillId="0" borderId="98" xfId="4" applyNumberFormat="1" applyFont="1" applyFill="1" applyBorder="1" applyAlignment="1">
      <alignment horizontal="right" vertical="center"/>
    </xf>
    <xf numFmtId="3" fontId="62" fillId="0" borderId="100" xfId="4" applyNumberFormat="1" applyFont="1" applyFill="1" applyBorder="1" applyAlignment="1"/>
    <xf numFmtId="43" fontId="62" fillId="0" borderId="102" xfId="1" applyFont="1" applyFill="1" applyBorder="1" applyAlignment="1">
      <alignment horizontal="right" vertical="center"/>
    </xf>
    <xf numFmtId="3" fontId="62" fillId="26" borderId="100" xfId="4" applyNumberFormat="1" applyFont="1" applyFill="1" applyBorder="1" applyAlignment="1">
      <alignment horizontal="right" vertical="center"/>
    </xf>
    <xf numFmtId="3" fontId="35" fillId="0" borderId="103" xfId="4" applyNumberFormat="1" applyFont="1" applyFill="1" applyBorder="1" applyAlignment="1">
      <alignment horizontal="right" vertical="center"/>
    </xf>
    <xf numFmtId="43" fontId="62" fillId="0" borderId="103" xfId="1" applyFont="1" applyFill="1" applyBorder="1" applyAlignment="1">
      <alignment horizontal="right" vertical="center"/>
    </xf>
    <xf numFmtId="43" fontId="35" fillId="0" borderId="103" xfId="1" applyFont="1" applyFill="1" applyBorder="1" applyAlignment="1">
      <alignment horizontal="right" vertical="center"/>
    </xf>
    <xf numFmtId="3" fontId="55" fillId="6" borderId="98" xfId="4" applyNumberFormat="1" applyFont="1" applyFill="1" applyBorder="1" applyAlignment="1"/>
    <xf numFmtId="43" fontId="55" fillId="6" borderId="98" xfId="1" applyFont="1" applyFill="1" applyBorder="1" applyAlignment="1"/>
    <xf numFmtId="43" fontId="58" fillId="0" borderId="98" xfId="1" applyFont="1" applyFill="1" applyBorder="1" applyAlignment="1">
      <alignment horizontal="right" vertical="center"/>
    </xf>
    <xf numFmtId="43" fontId="58" fillId="0" borderId="100" xfId="1" applyFont="1" applyFill="1" applyBorder="1" applyAlignment="1">
      <alignment horizontal="right" vertical="center"/>
    </xf>
    <xf numFmtId="3" fontId="54" fillId="6" borderId="100" xfId="6" applyNumberFormat="1" applyFont="1" applyFill="1" applyBorder="1" applyAlignment="1">
      <alignment horizontal="right" vertical="center"/>
    </xf>
    <xf numFmtId="43" fontId="54" fillId="6" borderId="100" xfId="1" applyFont="1" applyFill="1" applyBorder="1" applyAlignment="1">
      <alignment horizontal="right" vertical="center"/>
    </xf>
    <xf numFmtId="3" fontId="56" fillId="23" borderId="100" xfId="4" applyNumberFormat="1" applyFont="1" applyFill="1" applyBorder="1" applyAlignment="1">
      <alignment horizontal="right" vertical="center"/>
    </xf>
    <xf numFmtId="3" fontId="64" fillId="0" borderId="100" xfId="6" applyNumberFormat="1" applyFont="1" applyFill="1" applyBorder="1" applyAlignment="1">
      <alignment horizontal="right" vertical="center"/>
    </xf>
    <xf numFmtId="3" fontId="62" fillId="0" borderId="100" xfId="4" applyNumberFormat="1" applyFont="1" applyFill="1" applyBorder="1" applyAlignment="1">
      <alignment horizontal="right" vertical="center"/>
    </xf>
    <xf numFmtId="3" fontId="62" fillId="0" borderId="104" xfId="4" applyNumberFormat="1" applyFont="1" applyFill="1" applyBorder="1" applyAlignment="1">
      <alignment horizontal="right" vertical="center"/>
    </xf>
    <xf numFmtId="3" fontId="62" fillId="2" borderId="100" xfId="4" applyNumberFormat="1" applyFont="1" applyFill="1" applyBorder="1" applyAlignment="1">
      <alignment horizontal="right" vertical="center"/>
    </xf>
    <xf numFmtId="43" fontId="62" fillId="0" borderId="100" xfId="1" applyFont="1" applyFill="1" applyBorder="1" applyAlignment="1">
      <alignment horizontal="right" vertical="center"/>
    </xf>
    <xf numFmtId="3" fontId="54" fillId="6" borderId="98" xfId="6" applyNumberFormat="1" applyFont="1" applyFill="1" applyBorder="1" applyAlignment="1">
      <alignment horizontal="right" vertical="center"/>
    </xf>
    <xf numFmtId="43" fontId="54" fillId="6" borderId="98" xfId="1" applyFont="1" applyFill="1" applyBorder="1" applyAlignment="1">
      <alignment horizontal="right" vertical="center"/>
    </xf>
    <xf numFmtId="3" fontId="64" fillId="0" borderId="102" xfId="6" applyNumberFormat="1" applyFont="1" applyFill="1" applyBorder="1" applyAlignment="1">
      <alignment horizontal="right" vertical="center"/>
    </xf>
    <xf numFmtId="3" fontId="63" fillId="0" borderId="100" xfId="6" applyNumberFormat="1" applyFont="1" applyFill="1" applyBorder="1" applyAlignment="1">
      <alignment vertical="center"/>
    </xf>
    <xf numFmtId="43" fontId="64" fillId="0" borderId="102" xfId="1" applyFont="1" applyFill="1" applyBorder="1" applyAlignment="1">
      <alignment horizontal="right" vertical="center"/>
    </xf>
    <xf numFmtId="3" fontId="56" fillId="23" borderId="98" xfId="4" applyNumberFormat="1" applyFont="1" applyFill="1" applyBorder="1" applyAlignment="1">
      <alignment horizontal="right" vertical="center"/>
    </xf>
    <xf numFmtId="3" fontId="35" fillId="0" borderId="102" xfId="4" applyNumberFormat="1" applyFont="1" applyFill="1" applyBorder="1" applyAlignment="1">
      <alignment horizontal="right" vertical="center"/>
    </xf>
    <xf numFmtId="3" fontId="64" fillId="0" borderId="100" xfId="6" applyNumberFormat="1" applyFont="1" applyFill="1" applyBorder="1" applyAlignment="1">
      <alignment vertical="center"/>
    </xf>
    <xf numFmtId="3" fontId="64" fillId="0" borderId="98" xfId="6" applyNumberFormat="1" applyFont="1" applyFill="1" applyBorder="1" applyAlignment="1">
      <alignment vertical="center"/>
    </xf>
    <xf numFmtId="3" fontId="55" fillId="6" borderId="100" xfId="4" applyNumberFormat="1" applyFont="1" applyFill="1" applyBorder="1" applyAlignment="1"/>
    <xf numFmtId="0" fontId="48" fillId="6" borderId="101" xfId="4" applyFont="1" applyFill="1" applyBorder="1" applyAlignment="1">
      <alignment horizontal="left" vertical="center"/>
    </xf>
    <xf numFmtId="3" fontId="48" fillId="6" borderId="100" xfId="4" applyNumberFormat="1" applyFont="1" applyFill="1" applyBorder="1" applyAlignment="1"/>
    <xf numFmtId="3" fontId="48" fillId="6" borderId="98" xfId="4" applyNumberFormat="1" applyFont="1" applyFill="1" applyBorder="1" applyAlignment="1"/>
    <xf numFmtId="3" fontId="51" fillId="23" borderId="98" xfId="4" applyNumberFormat="1" applyFont="1" applyFill="1" applyBorder="1" applyAlignment="1">
      <alignment horizontal="right" vertical="center"/>
    </xf>
    <xf numFmtId="0" fontId="61" fillId="2" borderId="101" xfId="4" applyFont="1" applyFill="1" applyBorder="1" applyAlignment="1">
      <alignment vertical="top"/>
    </xf>
    <xf numFmtId="3" fontId="67" fillId="0" borderId="100" xfId="6" applyNumberFormat="1" applyFont="1" applyFill="1" applyBorder="1" applyAlignment="1">
      <alignment vertical="center"/>
    </xf>
    <xf numFmtId="3" fontId="67" fillId="0" borderId="98" xfId="6" applyNumberFormat="1" applyFont="1" applyFill="1" applyBorder="1" applyAlignment="1">
      <alignment vertical="center"/>
    </xf>
    <xf numFmtId="3" fontId="66" fillId="0" borderId="103" xfId="4" applyNumberFormat="1" applyFont="1" applyFill="1" applyBorder="1" applyAlignment="1">
      <alignment horizontal="right" vertical="center"/>
    </xf>
    <xf numFmtId="3" fontId="66" fillId="0" borderId="102" xfId="4" applyNumberFormat="1" applyFont="1" applyFill="1" applyBorder="1" applyAlignment="1">
      <alignment horizontal="right" vertical="center"/>
    </xf>
    <xf numFmtId="3" fontId="66" fillId="26" borderId="100" xfId="4" applyNumberFormat="1" applyFont="1" applyFill="1" applyBorder="1" applyAlignment="1">
      <alignment horizontal="right" vertical="center"/>
    </xf>
    <xf numFmtId="3" fontId="53" fillId="0" borderId="102" xfId="6" applyNumberFormat="1" applyFont="1" applyFill="1" applyBorder="1" applyAlignment="1">
      <alignment vertical="center"/>
    </xf>
    <xf numFmtId="3" fontId="49" fillId="0" borderId="103" xfId="4" applyNumberFormat="1" applyFont="1" applyFill="1" applyBorder="1" applyAlignment="1">
      <alignment horizontal="right" vertical="center"/>
    </xf>
    <xf numFmtId="3" fontId="49" fillId="0" borderId="102" xfId="4" applyNumberFormat="1" applyFont="1" applyFill="1" applyBorder="1" applyAlignment="1">
      <alignment horizontal="right" vertical="center"/>
    </xf>
    <xf numFmtId="3" fontId="49" fillId="25" borderId="98" xfId="4" applyNumberFormat="1" applyFont="1" applyFill="1" applyBorder="1" applyAlignment="1">
      <alignment horizontal="right" vertical="center"/>
    </xf>
    <xf numFmtId="3" fontId="48" fillId="6" borderId="102" xfId="4" applyNumberFormat="1" applyFont="1" applyFill="1" applyBorder="1" applyAlignment="1"/>
    <xf numFmtId="3" fontId="35" fillId="24" borderId="98" xfId="4" applyNumberFormat="1" applyFont="1" applyFill="1" applyBorder="1" applyAlignment="1">
      <alignment vertical="top"/>
    </xf>
    <xf numFmtId="0" fontId="56" fillId="6" borderId="101" xfId="4" applyFont="1" applyFill="1" applyBorder="1" applyAlignment="1">
      <alignment horizontal="left" vertical="center"/>
    </xf>
    <xf numFmtId="3" fontId="58" fillId="2" borderId="101" xfId="4" applyNumberFormat="1" applyFont="1" applyFill="1" applyBorder="1" applyAlignment="1">
      <alignment vertical="center" wrapText="1"/>
    </xf>
    <xf numFmtId="3" fontId="58" fillId="0" borderId="103" xfId="4" applyNumberFormat="1" applyFont="1" applyFill="1" applyBorder="1" applyAlignment="1">
      <alignment horizontal="right" vertical="center"/>
    </xf>
    <xf numFmtId="3" fontId="58" fillId="0" borderId="102" xfId="4" applyNumberFormat="1" applyFont="1" applyFill="1" applyBorder="1" applyAlignment="1">
      <alignment horizontal="right" vertical="center"/>
    </xf>
    <xf numFmtId="0" fontId="48" fillId="0" borderId="11" xfId="4" applyFont="1" applyBorder="1" applyAlignment="1">
      <alignment horizontal="center" vertical="center"/>
    </xf>
    <xf numFmtId="0" fontId="56" fillId="0" borderId="12" xfId="4" applyFont="1" applyBorder="1" applyAlignment="1">
      <alignment horizontal="center" vertical="center" wrapText="1"/>
    </xf>
    <xf numFmtId="0" fontId="51" fillId="0" borderId="12" xfId="4" applyFont="1" applyBorder="1" applyAlignment="1">
      <alignment horizontal="center" vertical="center" wrapText="1"/>
    </xf>
    <xf numFmtId="3" fontId="55" fillId="27" borderId="62" xfId="4" applyNumberFormat="1" applyFont="1" applyFill="1" applyBorder="1" applyAlignment="1">
      <alignment horizontal="center" vertical="center"/>
    </xf>
    <xf numFmtId="3" fontId="55" fillId="27" borderId="10" xfId="4" applyNumberFormat="1" applyFont="1" applyFill="1" applyBorder="1" applyAlignment="1">
      <alignment horizontal="center" vertical="center"/>
    </xf>
    <xf numFmtId="3" fontId="55" fillId="27" borderId="74" xfId="4" applyNumberFormat="1" applyFont="1" applyFill="1" applyBorder="1" applyAlignment="1">
      <alignment horizontal="center" vertical="center"/>
    </xf>
    <xf numFmtId="3" fontId="49" fillId="0" borderId="41" xfId="4" applyNumberFormat="1" applyFont="1" applyFill="1" applyBorder="1" applyAlignment="1">
      <alignment horizontal="center" vertical="center" wrapText="1"/>
    </xf>
    <xf numFmtId="0" fontId="57" fillId="0" borderId="6" xfId="0" applyFont="1" applyBorder="1" applyAlignment="1">
      <alignment horizontal="center" vertical="center"/>
    </xf>
    <xf numFmtId="0" fontId="48" fillId="0" borderId="11" xfId="4" applyFont="1" applyFill="1" applyBorder="1" applyAlignment="1">
      <alignment horizontal="center" vertical="center"/>
    </xf>
    <xf numFmtId="0" fontId="48" fillId="0" borderId="11" xfId="4" applyFont="1" applyFill="1" applyBorder="1" applyAlignment="1">
      <alignment horizontal="center" vertical="top"/>
    </xf>
    <xf numFmtId="0" fontId="49" fillId="8" borderId="43" xfId="4" applyFont="1" applyFill="1" applyBorder="1" applyAlignment="1">
      <alignment horizontal="center" vertical="top"/>
    </xf>
    <xf numFmtId="0" fontId="63" fillId="0" borderId="6" xfId="0" applyFont="1" applyBorder="1" applyAlignment="1">
      <alignment horizontal="center" vertical="center"/>
    </xf>
    <xf numFmtId="0" fontId="48" fillId="13" borderId="11" xfId="4" applyFont="1" applyFill="1" applyBorder="1" applyAlignment="1">
      <alignment horizontal="center" vertical="top"/>
    </xf>
    <xf numFmtId="0" fontId="49" fillId="13" borderId="43" xfId="4" applyFont="1" applyFill="1" applyBorder="1" applyAlignment="1">
      <alignment horizontal="center" vertical="center" wrapText="1"/>
    </xf>
    <xf numFmtId="3" fontId="49" fillId="0" borderId="46" xfId="4" applyNumberFormat="1" applyFont="1" applyFill="1" applyBorder="1" applyAlignment="1">
      <alignment horizontal="center" vertical="center" wrapText="1"/>
    </xf>
    <xf numFmtId="0" fontId="48" fillId="0" borderId="67" xfId="4" applyFont="1" applyBorder="1" applyAlignment="1">
      <alignment horizontal="center" vertical="center" wrapText="1"/>
    </xf>
    <xf numFmtId="0" fontId="55" fillId="8" borderId="14" xfId="0" applyFont="1" applyFill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0" fillId="0" borderId="0" xfId="0" applyFont="1"/>
    <xf numFmtId="0" fontId="0" fillId="0" borderId="68" xfId="0" applyFont="1" applyBorder="1"/>
    <xf numFmtId="0" fontId="0" fillId="0" borderId="24" xfId="0" applyFont="1" applyBorder="1"/>
    <xf numFmtId="0" fontId="0" fillId="0" borderId="26" xfId="0" applyFont="1" applyBorder="1"/>
    <xf numFmtId="0" fontId="112" fillId="2" borderId="0" xfId="0" applyFont="1" applyFill="1" applyAlignment="1"/>
    <xf numFmtId="0" fontId="0" fillId="0" borderId="3" xfId="0" applyFont="1" applyFill="1" applyBorder="1"/>
    <xf numFmtId="3" fontId="0" fillId="0" borderId="0" xfId="0" applyNumberFormat="1" applyFont="1" applyFill="1" applyBorder="1"/>
    <xf numFmtId="3" fontId="62" fillId="0" borderId="72" xfId="0" applyNumberFormat="1" applyFont="1" applyFill="1" applyBorder="1" applyAlignment="1">
      <alignment vertical="center"/>
    </xf>
    <xf numFmtId="3" fontId="58" fillId="2" borderId="104" xfId="4" applyNumberFormat="1" applyFont="1" applyFill="1" applyBorder="1" applyAlignment="1">
      <alignment vertical="top" wrapText="1"/>
    </xf>
    <xf numFmtId="0" fontId="35" fillId="0" borderId="104" xfId="4" applyFont="1" applyFill="1" applyBorder="1" applyAlignment="1">
      <alignment vertical="top"/>
    </xf>
    <xf numFmtId="3" fontId="117" fillId="0" borderId="9" xfId="4" applyNumberFormat="1" applyFont="1" applyFill="1" applyBorder="1" applyAlignment="1">
      <alignment horizontal="right" vertical="center"/>
    </xf>
    <xf numFmtId="3" fontId="149" fillId="6" borderId="100" xfId="6" applyNumberFormat="1" applyFont="1" applyFill="1" applyBorder="1" applyAlignment="1">
      <alignment horizontal="right" vertical="center"/>
    </xf>
    <xf numFmtId="3" fontId="150" fillId="0" borderId="100" xfId="6" applyNumberFormat="1" applyFont="1" applyFill="1" applyBorder="1" applyAlignment="1">
      <alignment horizontal="right" vertical="center"/>
    </xf>
    <xf numFmtId="0" fontId="151" fillId="8" borderId="19" xfId="4" applyFont="1" applyFill="1" applyBorder="1" applyAlignment="1">
      <alignment horizontal="left" vertical="center" wrapText="1"/>
    </xf>
    <xf numFmtId="3" fontId="117" fillId="0" borderId="102" xfId="4" applyNumberFormat="1" applyFont="1" applyFill="1" applyBorder="1" applyAlignment="1"/>
    <xf numFmtId="3" fontId="117" fillId="0" borderId="47" xfId="4" applyNumberFormat="1" applyFont="1" applyFill="1" applyBorder="1" applyAlignment="1">
      <alignment horizontal="right" vertical="center"/>
    </xf>
    <xf numFmtId="3" fontId="117" fillId="0" borderId="72" xfId="4" applyNumberFormat="1" applyFont="1" applyFill="1" applyBorder="1" applyAlignment="1"/>
    <xf numFmtId="0" fontId="113" fillId="0" borderId="77" xfId="4" applyFont="1" applyFill="1" applyBorder="1" applyAlignment="1">
      <alignment horizontal="left" vertical="center"/>
    </xf>
    <xf numFmtId="0" fontId="152" fillId="0" borderId="0" xfId="0" applyFont="1"/>
    <xf numFmtId="0" fontId="116" fillId="8" borderId="19" xfId="0" applyFont="1" applyFill="1" applyBorder="1" applyAlignment="1">
      <alignment vertical="center" wrapText="1"/>
    </xf>
    <xf numFmtId="0" fontId="116" fillId="8" borderId="14" xfId="0" applyFont="1" applyFill="1" applyBorder="1" applyAlignment="1">
      <alignment horizontal="center" vertical="center" wrapText="1"/>
    </xf>
    <xf numFmtId="0" fontId="119" fillId="8" borderId="3" xfId="0" applyFont="1" applyFill="1" applyBorder="1" applyAlignment="1">
      <alignment vertical="top"/>
    </xf>
    <xf numFmtId="0" fontId="119" fillId="8" borderId="70" xfId="0" applyFont="1" applyFill="1" applyBorder="1" applyAlignment="1">
      <alignment vertical="top"/>
    </xf>
    <xf numFmtId="0" fontId="119" fillId="8" borderId="79" xfId="0" applyFont="1" applyFill="1" applyBorder="1" applyAlignment="1">
      <alignment vertical="top"/>
    </xf>
    <xf numFmtId="3" fontId="119" fillId="8" borderId="79" xfId="0" applyNumberFormat="1" applyFont="1" applyFill="1" applyBorder="1" applyAlignment="1">
      <alignment vertical="top"/>
    </xf>
    <xf numFmtId="3" fontId="119" fillId="24" borderId="70" xfId="0" applyNumberFormat="1" applyFont="1" applyFill="1" applyBorder="1" applyAlignment="1">
      <alignment vertical="top"/>
    </xf>
    <xf numFmtId="0" fontId="120" fillId="6" borderId="34" xfId="4" applyFont="1" applyFill="1" applyBorder="1" applyAlignment="1">
      <alignment horizontal="left" vertical="center"/>
    </xf>
    <xf numFmtId="0" fontId="120" fillId="6" borderId="28" xfId="4" applyFont="1" applyFill="1" applyBorder="1" applyAlignment="1">
      <alignment horizontal="left" vertical="center"/>
    </xf>
    <xf numFmtId="3" fontId="116" fillId="6" borderId="29" xfId="4" applyNumberFormat="1" applyFont="1" applyFill="1" applyBorder="1" applyAlignment="1"/>
    <xf numFmtId="3" fontId="120" fillId="23" borderId="30" xfId="4" applyNumberFormat="1" applyFont="1" applyFill="1" applyBorder="1" applyAlignment="1">
      <alignment horizontal="right" vertical="center"/>
    </xf>
    <xf numFmtId="3" fontId="121" fillId="2" borderId="104" xfId="4" applyNumberFormat="1" applyFont="1" applyFill="1" applyBorder="1" applyAlignment="1">
      <alignment vertical="top" wrapText="1"/>
    </xf>
    <xf numFmtId="3" fontId="150" fillId="0" borderId="100" xfId="6" applyNumberFormat="1" applyFont="1" applyFill="1" applyBorder="1" applyAlignment="1">
      <alignment vertical="center"/>
    </xf>
    <xf numFmtId="3" fontId="150" fillId="0" borderId="98" xfId="6" applyNumberFormat="1" applyFont="1" applyFill="1" applyBorder="1" applyAlignment="1">
      <alignment vertical="center"/>
    </xf>
    <xf numFmtId="3" fontId="121" fillId="0" borderId="103" xfId="4" applyNumberFormat="1" applyFont="1" applyFill="1" applyBorder="1" applyAlignment="1">
      <alignment horizontal="right" vertical="center"/>
    </xf>
    <xf numFmtId="3" fontId="121" fillId="0" borderId="102" xfId="4" applyNumberFormat="1" applyFont="1" applyFill="1" applyBorder="1" applyAlignment="1">
      <alignment horizontal="right" vertical="center"/>
    </xf>
    <xf numFmtId="3" fontId="121" fillId="26" borderId="100" xfId="4" applyNumberFormat="1" applyFont="1" applyFill="1" applyBorder="1" applyAlignment="1">
      <alignment horizontal="right" vertical="center"/>
    </xf>
    <xf numFmtId="0" fontId="119" fillId="0" borderId="104" xfId="4" applyFont="1" applyFill="1" applyBorder="1" applyAlignment="1">
      <alignment vertical="top"/>
    </xf>
    <xf numFmtId="3" fontId="124" fillId="0" borderId="100" xfId="6" applyNumberFormat="1" applyFont="1" applyFill="1" applyBorder="1" applyAlignment="1">
      <alignment vertical="center"/>
    </xf>
    <xf numFmtId="3" fontId="119" fillId="0" borderId="103" xfId="4" applyNumberFormat="1" applyFont="1" applyFill="1" applyBorder="1" applyAlignment="1">
      <alignment horizontal="right" vertical="center"/>
    </xf>
    <xf numFmtId="3" fontId="119" fillId="0" borderId="102" xfId="4" applyNumberFormat="1" applyFont="1" applyFill="1" applyBorder="1" applyAlignment="1">
      <alignment horizontal="right" vertical="center"/>
    </xf>
    <xf numFmtId="3" fontId="119" fillId="0" borderId="98" xfId="4" applyNumberFormat="1" applyFont="1" applyFill="1" applyBorder="1" applyAlignment="1">
      <alignment horizontal="right" vertical="center"/>
    </xf>
    <xf numFmtId="3" fontId="119" fillId="24" borderId="98" xfId="4" applyNumberFormat="1" applyFont="1" applyFill="1" applyBorder="1" applyAlignment="1">
      <alignment vertical="top"/>
    </xf>
    <xf numFmtId="3" fontId="150" fillId="0" borderId="29" xfId="6" applyNumberFormat="1" applyFont="1" applyFill="1" applyBorder="1" applyAlignment="1">
      <alignment vertical="center"/>
    </xf>
    <xf numFmtId="3" fontId="150" fillId="0" borderId="30" xfId="6" applyNumberFormat="1" applyFont="1" applyFill="1" applyBorder="1" applyAlignment="1">
      <alignment vertical="center"/>
    </xf>
    <xf numFmtId="3" fontId="121" fillId="0" borderId="63" xfId="4" applyNumberFormat="1" applyFont="1" applyFill="1" applyBorder="1" applyAlignment="1">
      <alignment horizontal="right" vertical="center"/>
    </xf>
    <xf numFmtId="3" fontId="121" fillId="0" borderId="65" xfId="4" applyNumberFormat="1" applyFont="1" applyFill="1" applyBorder="1" applyAlignment="1">
      <alignment horizontal="right" vertical="center"/>
    </xf>
    <xf numFmtId="3" fontId="121" fillId="26" borderId="29" xfId="4" applyNumberFormat="1" applyFont="1" applyFill="1" applyBorder="1" applyAlignment="1">
      <alignment horizontal="right" vertical="center"/>
    </xf>
    <xf numFmtId="0" fontId="129" fillId="0" borderId="0" xfId="0" applyFont="1" applyBorder="1" applyAlignment="1">
      <alignment vertical="center"/>
    </xf>
    <xf numFmtId="3" fontId="124" fillId="0" borderId="29" xfId="6" applyNumberFormat="1" applyFont="1" applyFill="1" applyBorder="1" applyAlignment="1">
      <alignment vertical="center"/>
    </xf>
    <xf numFmtId="3" fontId="119" fillId="0" borderId="63" xfId="4" applyNumberFormat="1" applyFont="1" applyFill="1" applyBorder="1" applyAlignment="1">
      <alignment horizontal="right" vertical="center"/>
    </xf>
    <xf numFmtId="3" fontId="119" fillId="0" borderId="65" xfId="4" applyNumberFormat="1" applyFont="1" applyFill="1" applyBorder="1" applyAlignment="1">
      <alignment horizontal="right" vertical="center"/>
    </xf>
    <xf numFmtId="3" fontId="119" fillId="0" borderId="30" xfId="4" applyNumberFormat="1" applyFont="1" applyFill="1" applyBorder="1" applyAlignment="1">
      <alignment horizontal="right" vertical="center"/>
    </xf>
    <xf numFmtId="3" fontId="119" fillId="24" borderId="30" xfId="4" applyNumberFormat="1" applyFont="1" applyFill="1" applyBorder="1" applyAlignment="1">
      <alignment vertical="top"/>
    </xf>
    <xf numFmtId="0" fontId="120" fillId="6" borderId="32" xfId="4" applyFont="1" applyFill="1" applyBorder="1" applyAlignment="1">
      <alignment horizontal="left" vertical="center"/>
    </xf>
    <xf numFmtId="3" fontId="121" fillId="2" borderId="32" xfId="4" applyNumberFormat="1" applyFont="1" applyFill="1" applyBorder="1" applyAlignment="1">
      <alignment vertical="center" wrapText="1"/>
    </xf>
    <xf numFmtId="0" fontId="129" fillId="0" borderId="68" xfId="0" applyFont="1" applyBorder="1"/>
    <xf numFmtId="3" fontId="119" fillId="0" borderId="47" xfId="4" applyNumberFormat="1" applyFont="1" applyFill="1" applyBorder="1" applyAlignment="1">
      <alignment horizontal="right" vertical="center"/>
    </xf>
    <xf numFmtId="3" fontId="119" fillId="0" borderId="72" xfId="4" applyNumberFormat="1" applyFont="1" applyFill="1" applyBorder="1" applyAlignment="1">
      <alignment horizontal="right" vertical="center"/>
    </xf>
    <xf numFmtId="3" fontId="120" fillId="6" borderId="29" xfId="0" applyNumberFormat="1" applyFont="1" applyFill="1" applyBorder="1" applyAlignment="1">
      <alignment vertical="center"/>
    </xf>
    <xf numFmtId="0" fontId="120" fillId="8" borderId="5" xfId="0" applyFont="1" applyFill="1" applyBorder="1" applyAlignment="1">
      <alignment vertical="center" wrapText="1"/>
    </xf>
    <xf numFmtId="3" fontId="117" fillId="0" borderId="47" xfId="0" applyNumberFormat="1" applyFont="1" applyFill="1" applyBorder="1" applyAlignment="1">
      <alignment horizontal="right" vertical="center"/>
    </xf>
    <xf numFmtId="3" fontId="121" fillId="0" borderId="29" xfId="0" applyNumberFormat="1" applyFont="1" applyFill="1" applyBorder="1" applyAlignment="1">
      <alignment vertical="top"/>
    </xf>
    <xf numFmtId="3" fontId="120" fillId="6" borderId="29" xfId="0" applyNumberFormat="1" applyFont="1" applyFill="1" applyBorder="1" applyAlignment="1">
      <alignment vertical="top"/>
    </xf>
    <xf numFmtId="43" fontId="120" fillId="6" borderId="29" xfId="1" applyFont="1" applyFill="1" applyBorder="1" applyAlignment="1">
      <alignment vertical="top"/>
    </xf>
    <xf numFmtId="3" fontId="121" fillId="2" borderId="29" xfId="0" applyNumberFormat="1" applyFont="1" applyFill="1" applyBorder="1" applyAlignment="1">
      <alignment vertical="top"/>
    </xf>
    <xf numFmtId="43" fontId="121" fillId="2" borderId="29" xfId="1" applyFont="1" applyFill="1" applyBorder="1" applyAlignment="1">
      <alignment vertical="top"/>
    </xf>
    <xf numFmtId="3" fontId="117" fillId="0" borderId="29" xfId="0" applyNumberFormat="1" applyFont="1" applyFill="1" applyBorder="1" applyAlignment="1">
      <alignment vertical="top"/>
    </xf>
    <xf numFmtId="3" fontId="117" fillId="0" borderId="30" xfId="0" applyNumberFormat="1" applyFont="1" applyFill="1" applyBorder="1" applyAlignment="1">
      <alignment vertical="top"/>
    </xf>
    <xf numFmtId="3" fontId="117" fillId="0" borderId="9" xfId="0" applyNumberFormat="1" applyFont="1" applyFill="1" applyBorder="1" applyAlignment="1">
      <alignment vertical="top"/>
    </xf>
    <xf numFmtId="43" fontId="117" fillId="0" borderId="9" xfId="1" applyFont="1" applyFill="1" applyBorder="1" applyAlignment="1">
      <alignment vertical="top"/>
    </xf>
    <xf numFmtId="43" fontId="121" fillId="0" borderId="29" xfId="1" applyFont="1" applyFill="1" applyBorder="1" applyAlignment="1">
      <alignment vertical="top"/>
    </xf>
    <xf numFmtId="43" fontId="117" fillId="0" borderId="47" xfId="1" applyFont="1" applyFill="1" applyBorder="1" applyAlignment="1">
      <alignment horizontal="right" vertical="center"/>
    </xf>
    <xf numFmtId="0" fontId="120" fillId="8" borderId="14" xfId="0" applyFont="1" applyFill="1" applyBorder="1" applyAlignment="1">
      <alignment horizontal="center" vertical="center" wrapText="1"/>
    </xf>
    <xf numFmtId="3" fontId="119" fillId="8" borderId="4" xfId="0" applyNumberFormat="1" applyFont="1" applyFill="1" applyBorder="1" applyAlignment="1">
      <alignment vertical="top"/>
    </xf>
    <xf numFmtId="3" fontId="119" fillId="8" borderId="70" xfId="0" applyNumberFormat="1" applyFont="1" applyFill="1" applyBorder="1" applyAlignment="1">
      <alignment vertical="top"/>
    </xf>
    <xf numFmtId="0" fontId="119" fillId="8" borderId="2" xfId="0" applyFont="1" applyFill="1" applyBorder="1" applyAlignment="1">
      <alignment vertical="top"/>
    </xf>
    <xf numFmtId="0" fontId="119" fillId="24" borderId="15" xfId="0" applyFont="1" applyFill="1" applyBorder="1" applyAlignment="1">
      <alignment vertical="center"/>
    </xf>
    <xf numFmtId="0" fontId="117" fillId="6" borderId="28" xfId="0" applyFont="1" applyFill="1" applyBorder="1" applyAlignment="1">
      <alignment vertical="top"/>
    </xf>
    <xf numFmtId="3" fontId="120" fillId="23" borderId="30" xfId="0" applyNumberFormat="1" applyFont="1" applyFill="1" applyBorder="1" applyAlignment="1">
      <alignment vertical="top"/>
    </xf>
    <xf numFmtId="3" fontId="120" fillId="26" borderId="30" xfId="0" applyNumberFormat="1" applyFont="1" applyFill="1" applyBorder="1" applyAlignment="1">
      <alignment vertical="top"/>
    </xf>
    <xf numFmtId="0" fontId="117" fillId="0" borderId="21" xfId="0" applyFont="1" applyFill="1" applyBorder="1" applyAlignment="1">
      <alignment vertical="top"/>
    </xf>
    <xf numFmtId="3" fontId="117" fillId="26" borderId="35" xfId="0" applyNumberFormat="1" applyFont="1" applyFill="1" applyBorder="1" applyAlignment="1">
      <alignment vertical="top"/>
    </xf>
    <xf numFmtId="0" fontId="121" fillId="2" borderId="32" xfId="4" applyFont="1" applyFill="1" applyBorder="1" applyAlignment="1">
      <alignment vertical="top"/>
    </xf>
    <xf numFmtId="0" fontId="117" fillId="0" borderId="33" xfId="0" applyFont="1" applyFill="1" applyBorder="1" applyAlignment="1">
      <alignment horizontal="left" vertical="center" wrapText="1"/>
    </xf>
    <xf numFmtId="3" fontId="117" fillId="0" borderId="63" xfId="0" applyNumberFormat="1" applyFont="1" applyFill="1" applyBorder="1" applyAlignment="1">
      <alignment horizontal="right" vertical="center"/>
    </xf>
    <xf numFmtId="3" fontId="117" fillId="0" borderId="13" xfId="0" applyNumberFormat="1" applyFont="1" applyFill="1" applyBorder="1" applyAlignment="1">
      <alignment horizontal="right" vertical="center"/>
    </xf>
    <xf numFmtId="43" fontId="117" fillId="0" borderId="13" xfId="1" applyFont="1" applyFill="1" applyBorder="1" applyAlignment="1">
      <alignment horizontal="right" vertical="center"/>
    </xf>
    <xf numFmtId="0" fontId="119" fillId="6" borderId="28" xfId="0" applyFont="1" applyFill="1" applyBorder="1" applyAlignment="1">
      <alignment horizontal="left" vertical="center" wrapText="1"/>
    </xf>
    <xf numFmtId="3" fontId="121" fillId="2" borderId="84" xfId="4" applyNumberFormat="1" applyFont="1" applyFill="1" applyBorder="1" applyAlignment="1">
      <alignment vertical="center" wrapText="1"/>
    </xf>
    <xf numFmtId="0" fontId="117" fillId="0" borderId="85" xfId="0" applyFont="1" applyFill="1" applyBorder="1" applyAlignment="1">
      <alignment vertical="top"/>
    </xf>
    <xf numFmtId="0" fontId="121" fillId="2" borderId="31" xfId="4" applyFont="1" applyFill="1" applyBorder="1" applyAlignment="1">
      <alignment vertical="top"/>
    </xf>
    <xf numFmtId="0" fontId="117" fillId="0" borderId="77" xfId="0" applyFont="1" applyFill="1" applyBorder="1" applyAlignment="1">
      <alignment horizontal="left" vertical="center" wrapText="1"/>
    </xf>
    <xf numFmtId="0" fontId="120" fillId="8" borderId="19" xfId="0" applyFont="1" applyFill="1" applyBorder="1" applyAlignment="1">
      <alignment vertical="center" wrapText="1"/>
    </xf>
    <xf numFmtId="3" fontId="117" fillId="8" borderId="17" xfId="0" applyNumberFormat="1" applyFont="1" applyFill="1" applyBorder="1" applyAlignment="1">
      <alignment vertical="top"/>
    </xf>
    <xf numFmtId="0" fontId="117" fillId="8" borderId="70" xfId="0" applyFont="1" applyFill="1" applyBorder="1" applyAlignment="1">
      <alignment vertical="top"/>
    </xf>
    <xf numFmtId="0" fontId="117" fillId="59" borderId="70" xfId="0" applyFont="1" applyFill="1" applyBorder="1" applyAlignment="1">
      <alignment vertical="top"/>
    </xf>
    <xf numFmtId="0" fontId="117" fillId="61" borderId="70" xfId="0" applyFont="1" applyFill="1" applyBorder="1" applyAlignment="1">
      <alignment vertical="top"/>
    </xf>
    <xf numFmtId="0" fontId="117" fillId="8" borderId="2" xfId="0" applyFont="1" applyFill="1" applyBorder="1" applyAlignment="1">
      <alignment vertical="top"/>
    </xf>
    <xf numFmtId="0" fontId="119" fillId="24" borderId="2" xfId="0" applyFont="1" applyFill="1" applyBorder="1" applyAlignment="1">
      <alignment vertical="top"/>
    </xf>
    <xf numFmtId="0" fontId="120" fillId="6" borderId="21" xfId="4" applyFont="1" applyFill="1" applyBorder="1" applyAlignment="1">
      <alignment horizontal="left" vertical="center"/>
    </xf>
    <xf numFmtId="3" fontId="117" fillId="0" borderId="72" xfId="0" applyNumberFormat="1" applyFont="1" applyFill="1" applyBorder="1" applyAlignment="1">
      <alignment vertical="center"/>
    </xf>
    <xf numFmtId="3" fontId="119" fillId="24" borderId="47" xfId="0" applyNumberFormat="1" applyFont="1" applyFill="1" applyBorder="1" applyAlignment="1">
      <alignment vertical="center"/>
    </xf>
    <xf numFmtId="0" fontId="117" fillId="0" borderId="77" xfId="0" applyFont="1" applyFill="1" applyBorder="1" applyAlignment="1">
      <alignment vertical="center"/>
    </xf>
    <xf numFmtId="0" fontId="156" fillId="2" borderId="89" xfId="0" applyFont="1" applyFill="1" applyBorder="1" applyAlignment="1">
      <alignment vertical="center"/>
    </xf>
    <xf numFmtId="0" fontId="157" fillId="2" borderId="51" xfId="0" applyFont="1" applyFill="1" applyBorder="1" applyAlignment="1">
      <alignment vertical="top"/>
    </xf>
    <xf numFmtId="3" fontId="135" fillId="2" borderId="51" xfId="0" applyNumberFormat="1" applyFont="1" applyFill="1" applyBorder="1" applyAlignment="1">
      <alignment horizontal="left" vertical="top"/>
    </xf>
    <xf numFmtId="0" fontId="157" fillId="59" borderId="51" xfId="0" applyFont="1" applyFill="1" applyBorder="1" applyAlignment="1">
      <alignment vertical="top"/>
    </xf>
    <xf numFmtId="0" fontId="157" fillId="61" borderId="51" xfId="0" applyFont="1" applyFill="1" applyBorder="1" applyAlignment="1">
      <alignment vertical="top"/>
    </xf>
    <xf numFmtId="0" fontId="157" fillId="0" borderId="51" xfId="0" applyFont="1" applyFill="1" applyBorder="1" applyAlignment="1">
      <alignment vertical="top"/>
    </xf>
    <xf numFmtId="0" fontId="157" fillId="0" borderId="80" xfId="0" applyFont="1" applyFill="1" applyBorder="1" applyAlignment="1">
      <alignment vertical="top"/>
    </xf>
    <xf numFmtId="0" fontId="158" fillId="8" borderId="11" xfId="0" applyFont="1" applyFill="1" applyBorder="1" applyAlignment="1">
      <alignment vertical="top"/>
    </xf>
    <xf numFmtId="0" fontId="121" fillId="57" borderId="36" xfId="4" applyFont="1" applyFill="1" applyBorder="1" applyAlignment="1">
      <alignment horizontal="left" vertical="center"/>
    </xf>
    <xf numFmtId="0" fontId="121" fillId="57" borderId="20" xfId="4" applyFont="1" applyFill="1" applyBorder="1" applyAlignment="1">
      <alignment horizontal="left" vertical="center"/>
    </xf>
    <xf numFmtId="3" fontId="121" fillId="57" borderId="9" xfId="4" applyNumberFormat="1" applyFont="1" applyFill="1" applyBorder="1" applyAlignment="1">
      <alignment horizontal="right" vertical="center"/>
    </xf>
    <xf numFmtId="3" fontId="121" fillId="59" borderId="9" xfId="4" applyNumberFormat="1" applyFont="1" applyFill="1" applyBorder="1" applyAlignment="1">
      <alignment horizontal="right" vertical="center"/>
    </xf>
    <xf numFmtId="3" fontId="121" fillId="61" borderId="9" xfId="4" applyNumberFormat="1" applyFont="1" applyFill="1" applyBorder="1" applyAlignment="1">
      <alignment horizontal="right" vertical="center"/>
    </xf>
    <xf numFmtId="3" fontId="121" fillId="22" borderId="35" xfId="4" applyNumberFormat="1" applyFont="1" applyFill="1" applyBorder="1" applyAlignment="1">
      <alignment horizontal="right" vertical="center"/>
    </xf>
    <xf numFmtId="0" fontId="121" fillId="57" borderId="67" xfId="4" applyFont="1" applyFill="1" applyBorder="1" applyAlignment="1">
      <alignment horizontal="left" vertical="center"/>
    </xf>
    <xf numFmtId="0" fontId="121" fillId="57" borderId="6" xfId="4" applyFont="1" applyFill="1" applyBorder="1" applyAlignment="1">
      <alignment horizontal="left" vertical="center"/>
    </xf>
    <xf numFmtId="3" fontId="121" fillId="57" borderId="27" xfId="4" applyNumberFormat="1" applyFont="1" applyFill="1" applyBorder="1" applyAlignment="1">
      <alignment horizontal="right" vertical="center"/>
    </xf>
    <xf numFmtId="3" fontId="121" fillId="59" borderId="27" xfId="4" applyNumberFormat="1" applyFont="1" applyFill="1" applyBorder="1" applyAlignment="1">
      <alignment horizontal="right" vertical="center"/>
    </xf>
    <xf numFmtId="3" fontId="121" fillId="61" borderId="27" xfId="4" applyNumberFormat="1" applyFont="1" applyFill="1" applyBorder="1" applyAlignment="1">
      <alignment horizontal="right" vertical="center"/>
    </xf>
    <xf numFmtId="0" fontId="121" fillId="57" borderId="46" xfId="0" applyFont="1" applyFill="1" applyBorder="1" applyAlignment="1">
      <alignment horizontal="left" vertical="top"/>
    </xf>
    <xf numFmtId="3" fontId="121" fillId="57" borderId="12" xfId="4" applyNumberFormat="1" applyFont="1" applyFill="1" applyBorder="1" applyAlignment="1">
      <alignment horizontal="right" vertical="center"/>
    </xf>
    <xf numFmtId="3" fontId="121" fillId="22" borderId="12" xfId="4" applyNumberFormat="1" applyFont="1" applyFill="1" applyBorder="1" applyAlignment="1">
      <alignment horizontal="right" vertical="center"/>
    </xf>
    <xf numFmtId="0" fontId="116" fillId="29" borderId="11" xfId="0" applyFont="1" applyFill="1" applyBorder="1" applyAlignment="1">
      <alignment vertical="center"/>
    </xf>
    <xf numFmtId="0" fontId="120" fillId="6" borderId="19" xfId="4" applyFont="1" applyFill="1" applyBorder="1" applyAlignment="1">
      <alignment horizontal="left" vertical="center"/>
    </xf>
    <xf numFmtId="0" fontId="120" fillId="6" borderId="16" xfId="4" applyFont="1" applyFill="1" applyBorder="1" applyAlignment="1">
      <alignment horizontal="left" vertical="center"/>
    </xf>
    <xf numFmtId="3" fontId="116" fillId="30" borderId="70" xfId="0" applyNumberFormat="1" applyFont="1" applyFill="1" applyBorder="1" applyAlignment="1">
      <alignment vertical="center"/>
    </xf>
    <xf numFmtId="3" fontId="116" fillId="60" borderId="70" xfId="0" applyNumberFormat="1" applyFont="1" applyFill="1" applyBorder="1" applyAlignment="1">
      <alignment vertical="center"/>
    </xf>
    <xf numFmtId="3" fontId="116" fillId="62" borderId="70" xfId="0" applyNumberFormat="1" applyFont="1" applyFill="1" applyBorder="1" applyAlignment="1">
      <alignment vertical="center"/>
    </xf>
    <xf numFmtId="3" fontId="120" fillId="23" borderId="35" xfId="0" applyNumberFormat="1" applyFont="1" applyFill="1" applyBorder="1" applyAlignment="1">
      <alignment vertical="center"/>
    </xf>
    <xf numFmtId="0" fontId="151" fillId="8" borderId="11" xfId="0" applyFont="1" applyFill="1" applyBorder="1" applyAlignment="1">
      <alignment vertical="center"/>
    </xf>
    <xf numFmtId="0" fontId="159" fillId="8" borderId="36" xfId="4" applyFont="1" applyFill="1" applyBorder="1" applyAlignment="1">
      <alignment vertical="center"/>
    </xf>
    <xf numFmtId="3" fontId="121" fillId="8" borderId="30" xfId="0" applyNumberFormat="1" applyFont="1" applyFill="1" applyBorder="1" applyAlignment="1">
      <alignment vertical="center"/>
    </xf>
    <xf numFmtId="3" fontId="121" fillId="59" borderId="30" xfId="0" applyNumberFormat="1" applyFont="1" applyFill="1" applyBorder="1" applyAlignment="1">
      <alignment vertical="center"/>
    </xf>
    <xf numFmtId="3" fontId="121" fillId="61" borderId="30" xfId="0" applyNumberFormat="1" applyFont="1" applyFill="1" applyBorder="1" applyAlignment="1">
      <alignment vertical="center"/>
    </xf>
    <xf numFmtId="3" fontId="121" fillId="24" borderId="30" xfId="0" applyNumberFormat="1" applyFont="1" applyFill="1" applyBorder="1" applyAlignment="1">
      <alignment vertical="center"/>
    </xf>
    <xf numFmtId="0" fontId="153" fillId="29" borderId="11" xfId="0" applyFont="1" applyFill="1" applyBorder="1" applyAlignment="1">
      <alignment vertical="top"/>
    </xf>
    <xf numFmtId="0" fontId="119" fillId="8" borderId="36" xfId="4" applyFont="1" applyFill="1" applyBorder="1" applyAlignment="1">
      <alignment vertical="center"/>
    </xf>
    <xf numFmtId="3" fontId="117" fillId="29" borderId="30" xfId="0" applyNumberFormat="1" applyFont="1" applyFill="1" applyBorder="1" applyAlignment="1">
      <alignment vertical="center"/>
    </xf>
    <xf numFmtId="3" fontId="117" fillId="60" borderId="30" xfId="0" applyNumberFormat="1" applyFont="1" applyFill="1" applyBorder="1" applyAlignment="1">
      <alignment vertical="center"/>
    </xf>
    <xf numFmtId="3" fontId="117" fillId="62" borderId="30" xfId="0" applyNumberFormat="1" applyFont="1" applyFill="1" applyBorder="1" applyAlignment="1">
      <alignment vertical="center"/>
    </xf>
    <xf numFmtId="3" fontId="117" fillId="24" borderId="30" xfId="0" applyNumberFormat="1" applyFont="1" applyFill="1" applyBorder="1" applyAlignment="1">
      <alignment vertical="center"/>
    </xf>
    <xf numFmtId="0" fontId="116" fillId="29" borderId="11" xfId="0" applyFont="1" applyFill="1" applyBorder="1" applyAlignment="1">
      <alignment vertical="top"/>
    </xf>
    <xf numFmtId="0" fontId="120" fillId="6" borderId="20" xfId="4" applyFont="1" applyFill="1" applyBorder="1" applyAlignment="1">
      <alignment horizontal="left" vertical="center"/>
    </xf>
    <xf numFmtId="3" fontId="116" fillId="30" borderId="35" xfId="0" applyNumberFormat="1" applyFont="1" applyFill="1" applyBorder="1" applyAlignment="1">
      <alignment vertical="center"/>
    </xf>
    <xf numFmtId="3" fontId="116" fillId="60" borderId="35" xfId="0" applyNumberFormat="1" applyFont="1" applyFill="1" applyBorder="1" applyAlignment="1">
      <alignment vertical="center"/>
    </xf>
    <xf numFmtId="3" fontId="116" fillId="62" borderId="35" xfId="0" applyNumberFormat="1" applyFont="1" applyFill="1" applyBorder="1" applyAlignment="1">
      <alignment vertical="center"/>
    </xf>
    <xf numFmtId="3" fontId="117" fillId="29" borderId="13" xfId="0" applyNumberFormat="1" applyFont="1" applyFill="1" applyBorder="1" applyAlignment="1">
      <alignment vertical="center"/>
    </xf>
    <xf numFmtId="3" fontId="120" fillId="59" borderId="29" xfId="0" applyNumberFormat="1" applyFont="1" applyFill="1" applyBorder="1" applyAlignment="1">
      <alignment vertical="center"/>
    </xf>
    <xf numFmtId="3" fontId="120" fillId="61" borderId="29" xfId="0" applyNumberFormat="1" applyFont="1" applyFill="1" applyBorder="1" applyAlignment="1">
      <alignment vertical="center"/>
    </xf>
    <xf numFmtId="43" fontId="120" fillId="6" borderId="29" xfId="1" applyFont="1" applyFill="1" applyBorder="1" applyAlignment="1">
      <alignment vertical="center"/>
    </xf>
    <xf numFmtId="3" fontId="120" fillId="23" borderId="29" xfId="0" applyNumberFormat="1" applyFont="1" applyFill="1" applyBorder="1" applyAlignment="1">
      <alignment vertical="center"/>
    </xf>
    <xf numFmtId="3" fontId="121" fillId="0" borderId="29" xfId="0" applyNumberFormat="1" applyFont="1" applyFill="1" applyBorder="1" applyAlignment="1">
      <alignment vertical="center"/>
    </xf>
    <xf numFmtId="3" fontId="121" fillId="59" borderId="29" xfId="0" applyNumberFormat="1" applyFont="1" applyFill="1" applyBorder="1" applyAlignment="1">
      <alignment vertical="center"/>
    </xf>
    <xf numFmtId="3" fontId="121" fillId="61" borderId="29" xfId="0" applyNumberFormat="1" applyFont="1" applyFill="1" applyBorder="1" applyAlignment="1">
      <alignment vertical="center"/>
    </xf>
    <xf numFmtId="43" fontId="121" fillId="0" borderId="29" xfId="1" applyFont="1" applyFill="1" applyBorder="1" applyAlignment="1">
      <alignment vertical="center"/>
    </xf>
    <xf numFmtId="3" fontId="121" fillId="26" borderId="29" xfId="0" applyNumberFormat="1" applyFont="1" applyFill="1" applyBorder="1" applyAlignment="1">
      <alignment vertical="center"/>
    </xf>
    <xf numFmtId="3" fontId="117" fillId="0" borderId="47" xfId="0" applyNumberFormat="1" applyFont="1" applyFill="1" applyBorder="1" applyAlignment="1">
      <alignment vertical="center"/>
    </xf>
    <xf numFmtId="3" fontId="117" fillId="59" borderId="47" xfId="0" applyNumberFormat="1" applyFont="1" applyFill="1" applyBorder="1" applyAlignment="1">
      <alignment vertical="center"/>
    </xf>
    <xf numFmtId="3" fontId="117" fillId="61" borderId="47" xfId="0" applyNumberFormat="1" applyFont="1" applyFill="1" applyBorder="1" applyAlignment="1">
      <alignment vertical="center"/>
    </xf>
    <xf numFmtId="43" fontId="117" fillId="0" borderId="47" xfId="1" applyFont="1" applyFill="1" applyBorder="1" applyAlignment="1">
      <alignment vertical="center"/>
    </xf>
    <xf numFmtId="3" fontId="121" fillId="22" borderId="47" xfId="4" applyNumberFormat="1" applyFont="1" applyFill="1" applyBorder="1" applyAlignment="1">
      <alignment horizontal="right" vertical="center"/>
    </xf>
    <xf numFmtId="0" fontId="0" fillId="0" borderId="66" xfId="0" applyFont="1" applyBorder="1"/>
    <xf numFmtId="3" fontId="58" fillId="22" borderId="103" xfId="4" applyNumberFormat="1" applyFont="1" applyFill="1" applyBorder="1" applyAlignment="1">
      <alignment horizontal="right" vertical="center"/>
    </xf>
    <xf numFmtId="0" fontId="2" fillId="0" borderId="27" xfId="112" applyFont="1" applyBorder="1"/>
    <xf numFmtId="0" fontId="28" fillId="13" borderId="37" xfId="0" applyFont="1" applyFill="1" applyBorder="1" applyAlignment="1">
      <alignment vertical="center"/>
    </xf>
    <xf numFmtId="3" fontId="29" fillId="13" borderId="47" xfId="0" applyNumberFormat="1" applyFont="1" applyFill="1" applyBorder="1" applyAlignment="1">
      <alignment vertical="center" wrapText="1"/>
    </xf>
    <xf numFmtId="3" fontId="140" fillId="33" borderId="47" xfId="0" applyNumberFormat="1" applyFont="1" applyFill="1" applyBorder="1" applyAlignment="1">
      <alignment vertical="center" wrapText="1"/>
    </xf>
    <xf numFmtId="3" fontId="22" fillId="13" borderId="77" xfId="0" applyNumberFormat="1" applyFont="1" applyFill="1" applyBorder="1" applyAlignment="1">
      <alignment horizontal="center" vertical="center" wrapText="1"/>
    </xf>
    <xf numFmtId="0" fontId="56" fillId="0" borderId="12" xfId="4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0" fillId="0" borderId="0" xfId="0" applyFont="1" applyBorder="1"/>
    <xf numFmtId="0" fontId="48" fillId="13" borderId="11" xfId="4" applyFont="1" applyFill="1" applyBorder="1" applyAlignment="1">
      <alignment horizontal="center" vertical="top"/>
    </xf>
    <xf numFmtId="0" fontId="120" fillId="8" borderId="19" xfId="4" applyFont="1" applyFill="1" applyBorder="1" applyAlignment="1">
      <alignment horizontal="left" vertical="center" wrapText="1"/>
    </xf>
    <xf numFmtId="0" fontId="116" fillId="8" borderId="14" xfId="4" applyFont="1" applyFill="1" applyBorder="1" applyAlignment="1">
      <alignment horizontal="center" vertical="center" wrapText="1"/>
    </xf>
    <xf numFmtId="3" fontId="120" fillId="8" borderId="4" xfId="4" applyNumberFormat="1" applyFont="1" applyFill="1" applyBorder="1" applyAlignment="1"/>
    <xf numFmtId="3" fontId="120" fillId="8" borderId="70" xfId="4" applyNumberFormat="1" applyFont="1" applyFill="1" applyBorder="1" applyAlignment="1">
      <alignment horizontal="right" vertical="center"/>
    </xf>
    <xf numFmtId="3" fontId="120" fillId="8" borderId="17" xfId="4" applyNumberFormat="1" applyFont="1" applyFill="1" applyBorder="1" applyAlignment="1">
      <alignment horizontal="right" vertical="center"/>
    </xf>
    <xf numFmtId="3" fontId="120" fillId="8" borderId="2" xfId="4" applyNumberFormat="1" applyFont="1" applyFill="1" applyBorder="1" applyAlignment="1">
      <alignment horizontal="right" vertical="center"/>
    </xf>
    <xf numFmtId="3" fontId="120" fillId="8" borderId="10" xfId="4" applyNumberFormat="1" applyFont="1" applyFill="1" applyBorder="1" applyAlignment="1">
      <alignment horizontal="right" vertical="center"/>
    </xf>
    <xf numFmtId="3" fontId="116" fillId="24" borderId="10" xfId="4" applyNumberFormat="1" applyFont="1" applyFill="1" applyBorder="1" applyAlignment="1">
      <alignment horizontal="right" vertical="center"/>
    </xf>
    <xf numFmtId="3" fontId="120" fillId="6" borderId="29" xfId="4" applyNumberFormat="1" applyFont="1" applyFill="1" applyBorder="1" applyAlignment="1">
      <alignment horizontal="right" vertical="center"/>
    </xf>
    <xf numFmtId="43" fontId="120" fillId="6" borderId="29" xfId="1" applyFont="1" applyFill="1" applyBorder="1" applyAlignment="1">
      <alignment horizontal="right" vertical="center"/>
    </xf>
    <xf numFmtId="3" fontId="121" fillId="2" borderId="32" xfId="4" applyNumberFormat="1" applyFont="1" applyFill="1" applyBorder="1" applyAlignment="1">
      <alignment vertical="top" wrapText="1"/>
    </xf>
    <xf numFmtId="3" fontId="121" fillId="0" borderId="29" xfId="4" applyNumberFormat="1" applyFont="1" applyFill="1" applyBorder="1" applyAlignment="1">
      <alignment horizontal="right" vertical="center"/>
    </xf>
    <xf numFmtId="43" fontId="121" fillId="0" borderId="29" xfId="1" applyFont="1" applyFill="1" applyBorder="1" applyAlignment="1">
      <alignment horizontal="right" vertical="center"/>
    </xf>
    <xf numFmtId="0" fontId="117" fillId="0" borderId="32" xfId="4" applyFont="1" applyFill="1" applyBorder="1" applyAlignment="1">
      <alignment vertical="top"/>
    </xf>
    <xf numFmtId="3" fontId="117" fillId="0" borderId="65" xfId="4" applyNumberFormat="1" applyFont="1" applyFill="1" applyBorder="1" applyAlignment="1"/>
    <xf numFmtId="3" fontId="119" fillId="0" borderId="29" xfId="4" applyNumberFormat="1" applyFont="1" applyFill="1" applyBorder="1" applyAlignment="1">
      <alignment horizontal="right" vertical="center"/>
    </xf>
    <xf numFmtId="3" fontId="117" fillId="2" borderId="30" xfId="4" applyNumberFormat="1" applyFont="1" applyFill="1" applyBorder="1" applyAlignment="1">
      <alignment horizontal="right" vertical="center"/>
    </xf>
    <xf numFmtId="3" fontId="117" fillId="0" borderId="29" xfId="4" applyNumberFormat="1" applyFont="1" applyFill="1" applyBorder="1" applyAlignment="1"/>
    <xf numFmtId="43" fontId="119" fillId="0" borderId="29" xfId="1" applyFont="1" applyFill="1" applyBorder="1" applyAlignment="1">
      <alignment horizontal="right" vertical="center"/>
    </xf>
    <xf numFmtId="3" fontId="117" fillId="26" borderId="29" xfId="4" applyNumberFormat="1" applyFont="1" applyFill="1" applyBorder="1" applyAlignment="1">
      <alignment horizontal="right" vertical="center"/>
    </xf>
    <xf numFmtId="43" fontId="150" fillId="0" borderId="29" xfId="1" applyFont="1" applyFill="1" applyBorder="1" applyAlignment="1">
      <alignment vertical="center"/>
    </xf>
    <xf numFmtId="0" fontId="117" fillId="0" borderId="81" xfId="4" applyFont="1" applyFill="1" applyBorder="1" applyAlignment="1">
      <alignment vertical="top"/>
    </xf>
    <xf numFmtId="43" fontId="116" fillId="6" borderId="29" xfId="1" applyFont="1" applyFill="1" applyBorder="1" applyAlignment="1"/>
    <xf numFmtId="3" fontId="121" fillId="2" borderId="29" xfId="4" applyNumberFormat="1" applyFont="1" applyFill="1" applyBorder="1" applyAlignment="1"/>
    <xf numFmtId="3" fontId="159" fillId="2" borderId="29" xfId="4" applyNumberFormat="1" applyFont="1" applyFill="1" applyBorder="1" applyAlignment="1"/>
    <xf numFmtId="43" fontId="121" fillId="2" borderId="29" xfId="1" applyFont="1" applyFill="1" applyBorder="1" applyAlignment="1"/>
    <xf numFmtId="0" fontId="117" fillId="0" borderId="83" xfId="4" applyFont="1" applyFill="1" applyBorder="1" applyAlignment="1">
      <alignment vertical="top"/>
    </xf>
    <xf numFmtId="3" fontId="117" fillId="2" borderId="47" xfId="4" applyNumberFormat="1" applyFont="1" applyFill="1" applyBorder="1" applyAlignment="1"/>
    <xf numFmtId="3" fontId="117" fillId="2" borderId="72" xfId="4" applyNumberFormat="1" applyFont="1" applyFill="1" applyBorder="1" applyAlignment="1"/>
    <xf numFmtId="3" fontId="119" fillId="2" borderId="47" xfId="4" applyNumberFormat="1" applyFont="1" applyFill="1" applyBorder="1" applyAlignment="1"/>
    <xf numFmtId="43" fontId="117" fillId="2" borderId="74" xfId="1" applyFont="1" applyFill="1" applyBorder="1" applyAlignment="1"/>
    <xf numFmtId="0" fontId="50" fillId="0" borderId="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59" borderId="0" xfId="0" applyFont="1" applyFill="1" applyBorder="1" applyAlignment="1">
      <alignment vertical="top"/>
    </xf>
    <xf numFmtId="0" fontId="0" fillId="61" borderId="0" xfId="0" applyFont="1" applyFill="1" applyBorder="1" applyAlignment="1">
      <alignment vertical="top"/>
    </xf>
    <xf numFmtId="0" fontId="59" fillId="0" borderId="0" xfId="0" applyFont="1" applyFill="1" applyBorder="1" applyAlignment="1"/>
    <xf numFmtId="0" fontId="69" fillId="33" borderId="0" xfId="0" applyFont="1" applyFill="1" applyBorder="1" applyAlignment="1">
      <alignment vertical="top"/>
    </xf>
    <xf numFmtId="3" fontId="53" fillId="61" borderId="0" xfId="0" applyNumberFormat="1" applyFont="1" applyFill="1" applyBorder="1" applyAlignment="1">
      <alignment vertical="top"/>
    </xf>
    <xf numFmtId="3" fontId="0" fillId="61" borderId="0" xfId="0" applyNumberFormat="1" applyFont="1" applyFill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59" fillId="0" borderId="0" xfId="0" applyFont="1" applyFill="1" applyBorder="1" applyAlignment="1">
      <alignment horizontal="left"/>
    </xf>
    <xf numFmtId="0" fontId="42" fillId="0" borderId="0" xfId="0" applyFont="1" applyFill="1" applyBorder="1" applyAlignment="1"/>
    <xf numFmtId="0" fontId="44" fillId="0" borderId="0" xfId="0" applyFont="1" applyFill="1" applyBorder="1" applyAlignment="1">
      <alignment horizontal="left"/>
    </xf>
    <xf numFmtId="0" fontId="65" fillId="0" borderId="0" xfId="0" applyFont="1" applyFill="1" applyBorder="1" applyAlignment="1">
      <alignment vertical="top"/>
    </xf>
    <xf numFmtId="0" fontId="48" fillId="2" borderId="2" xfId="0" applyFont="1" applyFill="1" applyBorder="1" applyAlignment="1">
      <alignment vertical="center" wrapText="1"/>
    </xf>
    <xf numFmtId="0" fontId="48" fillId="2" borderId="3" xfId="0" applyFont="1" applyFill="1" applyBorder="1" applyAlignment="1">
      <alignment vertical="center" wrapText="1"/>
    </xf>
    <xf numFmtId="0" fontId="52" fillId="0" borderId="0" xfId="0" applyFont="1" applyFill="1" applyBorder="1" applyAlignment="1">
      <alignment vertical="top"/>
    </xf>
    <xf numFmtId="0" fontId="52" fillId="0" borderId="0" xfId="0" applyFont="1" applyBorder="1" applyAlignment="1">
      <alignment vertical="top"/>
    </xf>
    <xf numFmtId="0" fontId="48" fillId="2" borderId="7" xfId="0" applyFont="1" applyFill="1" applyBorder="1" applyAlignment="1">
      <alignment vertical="center" wrapText="1"/>
    </xf>
    <xf numFmtId="0" fontId="48" fillId="2" borderId="8" xfId="0" applyFont="1" applyFill="1" applyBorder="1" applyAlignment="1">
      <alignment vertical="center" wrapText="1"/>
    </xf>
    <xf numFmtId="0" fontId="48" fillId="2" borderId="74" xfId="0" applyFont="1" applyFill="1" applyBorder="1" applyAlignment="1">
      <alignment horizontal="center" vertical="center" wrapText="1"/>
    </xf>
    <xf numFmtId="0" fontId="48" fillId="2" borderId="24" xfId="0" applyFont="1" applyFill="1" applyBorder="1" applyAlignment="1">
      <alignment horizontal="center" vertical="center" wrapText="1"/>
    </xf>
    <xf numFmtId="0" fontId="56" fillId="33" borderId="13" xfId="4" applyFont="1" applyFill="1" applyBorder="1" applyAlignment="1">
      <alignment horizontal="center" vertical="center" wrapText="1"/>
    </xf>
    <xf numFmtId="0" fontId="56" fillId="0" borderId="23" xfId="4" applyFont="1" applyBorder="1" applyAlignment="1">
      <alignment horizontal="center" vertical="center" wrapText="1"/>
    </xf>
    <xf numFmtId="0" fontId="52" fillId="0" borderId="52" xfId="0" applyFont="1" applyBorder="1" applyAlignment="1">
      <alignment horizontal="center" vertical="top"/>
    </xf>
    <xf numFmtId="0" fontId="52" fillId="0" borderId="51" xfId="0" quotePrefix="1" applyFont="1" applyBorder="1" applyAlignment="1">
      <alignment horizontal="center" vertical="top"/>
    </xf>
    <xf numFmtId="0" fontId="52" fillId="0" borderId="39" xfId="0" quotePrefix="1" applyFont="1" applyBorder="1" applyAlignment="1">
      <alignment horizontal="center" vertical="top"/>
    </xf>
    <xf numFmtId="0" fontId="52" fillId="59" borderId="39" xfId="0" applyFont="1" applyFill="1" applyBorder="1" applyAlignment="1">
      <alignment horizontal="center" vertical="top"/>
    </xf>
    <xf numFmtId="0" fontId="52" fillId="61" borderId="39" xfId="0" quotePrefix="1" applyFont="1" applyFill="1" applyBorder="1" applyAlignment="1">
      <alignment horizontal="center" vertical="top"/>
    </xf>
    <xf numFmtId="0" fontId="52" fillId="27" borderId="78" xfId="0" quotePrefix="1" applyFont="1" applyFill="1" applyBorder="1" applyAlignment="1">
      <alignment horizontal="center" vertical="top"/>
    </xf>
    <xf numFmtId="3" fontId="0" fillId="0" borderId="0" xfId="0" applyNumberFormat="1" applyFont="1" applyBorder="1"/>
    <xf numFmtId="3" fontId="55" fillId="60" borderId="70" xfId="0" applyNumberFormat="1" applyFont="1" applyFill="1" applyBorder="1" applyAlignment="1">
      <alignment vertical="center"/>
    </xf>
    <xf numFmtId="3" fontId="55" fillId="62" borderId="70" xfId="0" applyNumberFormat="1" applyFont="1" applyFill="1" applyBorder="1" applyAlignment="1">
      <alignment vertical="center"/>
    </xf>
    <xf numFmtId="3" fontId="106" fillId="0" borderId="0" xfId="0" applyNumberFormat="1" applyFont="1" applyBorder="1" applyAlignment="1">
      <alignment vertical="top"/>
    </xf>
    <xf numFmtId="3" fontId="48" fillId="0" borderId="0" xfId="0" applyNumberFormat="1" applyFont="1" applyBorder="1" applyAlignment="1">
      <alignment vertical="top"/>
    </xf>
    <xf numFmtId="0" fontId="48" fillId="0" borderId="0" xfId="0" applyFont="1" applyBorder="1" applyAlignment="1">
      <alignment vertical="top"/>
    </xf>
    <xf numFmtId="3" fontId="60" fillId="8" borderId="98" xfId="0" applyNumberFormat="1" applyFont="1" applyFill="1" applyBorder="1" applyAlignment="1">
      <alignment vertical="center"/>
    </xf>
    <xf numFmtId="3" fontId="60" fillId="24" borderId="98" xfId="0" applyNumberFormat="1" applyFont="1" applyFill="1" applyBorder="1" applyAlignment="1">
      <alignment vertical="center"/>
    </xf>
    <xf numFmtId="3" fontId="49" fillId="8" borderId="43" xfId="0" applyNumberFormat="1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vertical="center"/>
    </xf>
    <xf numFmtId="0" fontId="49" fillId="34" borderId="0" xfId="0" applyFont="1" applyFill="1" applyBorder="1" applyAlignment="1">
      <alignment vertical="center"/>
    </xf>
    <xf numFmtId="3" fontId="35" fillId="29" borderId="98" xfId="0" applyNumberFormat="1" applyFont="1" applyFill="1" applyBorder="1" applyAlignment="1">
      <alignment vertical="center"/>
    </xf>
    <xf numFmtId="3" fontId="35" fillId="24" borderId="98" xfId="0" applyNumberFormat="1" applyFont="1" applyFill="1" applyBorder="1" applyAlignment="1">
      <alignment vertical="center"/>
    </xf>
    <xf numFmtId="0" fontId="106" fillId="0" borderId="0" xfId="0" applyFont="1" applyBorder="1" applyAlignment="1">
      <alignment vertical="top"/>
    </xf>
    <xf numFmtId="0" fontId="35" fillId="8" borderId="36" xfId="4" applyFont="1" applyFill="1" applyBorder="1" applyAlignment="1">
      <alignment horizontal="left" vertical="center"/>
    </xf>
    <xf numFmtId="3" fontId="35" fillId="29" borderId="28" xfId="0" applyNumberFormat="1" applyFont="1" applyFill="1" applyBorder="1" applyAlignment="1">
      <alignment vertical="center" wrapText="1"/>
    </xf>
    <xf numFmtId="3" fontId="35" fillId="60" borderId="98" xfId="0" applyNumberFormat="1" applyFont="1" applyFill="1" applyBorder="1" applyAlignment="1">
      <alignment vertical="center"/>
    </xf>
    <xf numFmtId="3" fontId="35" fillId="62" borderId="98" xfId="0" applyNumberFormat="1" applyFont="1" applyFill="1" applyBorder="1" applyAlignment="1">
      <alignment vertical="center"/>
    </xf>
    <xf numFmtId="3" fontId="35" fillId="29" borderId="9" xfId="0" applyNumberFormat="1" applyFont="1" applyFill="1" applyBorder="1" applyAlignment="1">
      <alignment vertical="center"/>
    </xf>
    <xf numFmtId="43" fontId="35" fillId="24" borderId="98" xfId="1" applyFont="1" applyFill="1" applyBorder="1" applyAlignment="1">
      <alignment vertical="center"/>
    </xf>
    <xf numFmtId="3" fontId="60" fillId="59" borderId="9" xfId="0" applyNumberFormat="1" applyFont="1" applyFill="1" applyBorder="1" applyAlignment="1">
      <alignment vertical="center"/>
    </xf>
    <xf numFmtId="3" fontId="60" fillId="61" borderId="9" xfId="0" applyNumberFormat="1" applyFont="1" applyFill="1" applyBorder="1" applyAlignment="1">
      <alignment vertical="center"/>
    </xf>
    <xf numFmtId="0" fontId="35" fillId="8" borderId="106" xfId="0" applyFont="1" applyFill="1" applyBorder="1" applyAlignment="1">
      <alignment vertical="top" wrapText="1"/>
    </xf>
    <xf numFmtId="0" fontId="35" fillId="8" borderId="99" xfId="0" applyFont="1" applyFill="1" applyBorder="1" applyAlignment="1">
      <alignment vertical="top" wrapText="1"/>
    </xf>
    <xf numFmtId="3" fontId="49" fillId="8" borderId="43" xfId="0" applyNumberFormat="1" applyFont="1" applyFill="1" applyBorder="1" applyAlignment="1">
      <alignment horizontal="center" vertical="top" wrapText="1"/>
    </xf>
    <xf numFmtId="0" fontId="49" fillId="0" borderId="0" xfId="0" applyFont="1" applyFill="1" applyBorder="1" applyAlignment="1">
      <alignment vertical="top"/>
    </xf>
    <xf numFmtId="0" fontId="49" fillId="34" borderId="0" xfId="0" applyFont="1" applyFill="1" applyBorder="1" applyAlignment="1">
      <alignment vertical="top"/>
    </xf>
    <xf numFmtId="3" fontId="60" fillId="59" borderId="98" xfId="0" applyNumberFormat="1" applyFont="1" applyFill="1" applyBorder="1" applyAlignment="1">
      <alignment vertical="center"/>
    </xf>
    <xf numFmtId="3" fontId="60" fillId="61" borderId="98" xfId="0" applyNumberFormat="1" applyFont="1" applyFill="1" applyBorder="1" applyAlignment="1">
      <alignment vertical="center"/>
    </xf>
    <xf numFmtId="3" fontId="49" fillId="0" borderId="0" xfId="0" applyNumberFormat="1" applyFont="1" applyFill="1" applyBorder="1" applyAlignment="1">
      <alignment vertical="center"/>
    </xf>
    <xf numFmtId="0" fontId="35" fillId="8" borderId="28" xfId="0" applyFont="1" applyFill="1" applyBorder="1" applyAlignment="1">
      <alignment vertical="top" wrapText="1"/>
    </xf>
    <xf numFmtId="0" fontId="35" fillId="8" borderId="77" xfId="0" applyFont="1" applyFill="1" applyBorder="1" applyAlignment="1">
      <alignment vertical="top" wrapText="1"/>
    </xf>
    <xf numFmtId="3" fontId="49" fillId="8" borderId="41" xfId="0" applyNumberFormat="1" applyFont="1" applyFill="1" applyBorder="1" applyAlignment="1">
      <alignment horizontal="center" vertical="top" wrapText="1"/>
    </xf>
    <xf numFmtId="3" fontId="49" fillId="0" borderId="0" xfId="0" applyNumberFormat="1" applyFont="1" applyFill="1" applyBorder="1" applyAlignment="1">
      <alignment vertical="top"/>
    </xf>
    <xf numFmtId="0" fontId="35" fillId="24" borderId="2" xfId="0" applyFont="1" applyFill="1" applyBorder="1" applyAlignment="1">
      <alignment vertical="center"/>
    </xf>
    <xf numFmtId="3" fontId="56" fillId="6" borderId="100" xfId="0" applyNumberFormat="1" applyFont="1" applyFill="1" applyBorder="1" applyAlignment="1">
      <alignment vertical="top"/>
    </xf>
    <xf numFmtId="3" fontId="56" fillId="59" borderId="100" xfId="0" applyNumberFormat="1" applyFont="1" applyFill="1" applyBorder="1" applyAlignment="1">
      <alignment vertical="top"/>
    </xf>
    <xf numFmtId="3" fontId="56" fillId="61" borderId="100" xfId="0" applyNumberFormat="1" applyFont="1" applyFill="1" applyBorder="1" applyAlignment="1">
      <alignment vertical="top"/>
    </xf>
    <xf numFmtId="3" fontId="56" fillId="23" borderId="100" xfId="0" applyNumberFormat="1" applyFont="1" applyFill="1" applyBorder="1" applyAlignment="1">
      <alignment vertical="top"/>
    </xf>
    <xf numFmtId="3" fontId="58" fillId="2" borderId="100" xfId="0" applyNumberFormat="1" applyFont="1" applyFill="1" applyBorder="1" applyAlignment="1">
      <alignment vertical="top"/>
    </xf>
    <xf numFmtId="3" fontId="58" fillId="59" borderId="100" xfId="0" applyNumberFormat="1" applyFont="1" applyFill="1" applyBorder="1" applyAlignment="1">
      <alignment vertical="top"/>
    </xf>
    <xf numFmtId="3" fontId="58" fillId="61" borderId="100" xfId="0" applyNumberFormat="1" applyFont="1" applyFill="1" applyBorder="1" applyAlignment="1">
      <alignment vertical="top"/>
    </xf>
    <xf numFmtId="3" fontId="56" fillId="26" borderId="98" xfId="0" applyNumberFormat="1" applyFont="1" applyFill="1" applyBorder="1" applyAlignment="1">
      <alignment vertical="top"/>
    </xf>
    <xf numFmtId="3" fontId="49" fillId="2" borderId="0" xfId="0" applyNumberFormat="1" applyFont="1" applyFill="1" applyBorder="1" applyAlignment="1">
      <alignment vertical="top"/>
    </xf>
    <xf numFmtId="0" fontId="49" fillId="2" borderId="0" xfId="0" applyFont="1" applyFill="1" applyBorder="1" applyAlignment="1">
      <alignment vertical="top"/>
    </xf>
    <xf numFmtId="3" fontId="62" fillId="0" borderId="100" xfId="0" applyNumberFormat="1" applyFont="1" applyFill="1" applyBorder="1" applyAlignment="1">
      <alignment vertical="top"/>
    </xf>
    <xf numFmtId="3" fontId="62" fillId="59" borderId="100" xfId="0" applyNumberFormat="1" applyFont="1" applyFill="1" applyBorder="1" applyAlignment="1">
      <alignment vertical="top"/>
    </xf>
    <xf numFmtId="3" fontId="62" fillId="61" borderId="100" xfId="0" applyNumberFormat="1" applyFont="1" applyFill="1" applyBorder="1" applyAlignment="1">
      <alignment vertical="top"/>
    </xf>
    <xf numFmtId="3" fontId="58" fillId="0" borderId="100" xfId="0" applyNumberFormat="1" applyFont="1" applyFill="1" applyBorder="1" applyAlignment="1">
      <alignment vertical="top"/>
    </xf>
    <xf numFmtId="0" fontId="62" fillId="0" borderId="106" xfId="0" applyFont="1" applyFill="1" applyBorder="1" applyAlignment="1">
      <alignment horizontal="left" vertical="center" wrapText="1"/>
    </xf>
    <xf numFmtId="3" fontId="62" fillId="0" borderId="103" xfId="0" applyNumberFormat="1" applyFont="1" applyFill="1" applyBorder="1" applyAlignment="1">
      <alignment horizontal="right" vertical="center"/>
    </xf>
    <xf numFmtId="3" fontId="62" fillId="59" borderId="103" xfId="0" applyNumberFormat="1" applyFont="1" applyFill="1" applyBorder="1" applyAlignment="1">
      <alignment horizontal="right" vertical="center"/>
    </xf>
    <xf numFmtId="3" fontId="62" fillId="61" borderId="103" xfId="0" applyNumberFormat="1" applyFont="1" applyFill="1" applyBorder="1" applyAlignment="1">
      <alignment horizontal="right" vertical="center"/>
    </xf>
    <xf numFmtId="3" fontId="62" fillId="0" borderId="98" xfId="0" applyNumberFormat="1" applyFont="1" applyFill="1" applyBorder="1" applyAlignment="1">
      <alignment vertical="top"/>
    </xf>
    <xf numFmtId="3" fontId="62" fillId="59" borderId="98" xfId="0" applyNumberFormat="1" applyFont="1" applyFill="1" applyBorder="1" applyAlignment="1">
      <alignment vertical="top"/>
    </xf>
    <xf numFmtId="3" fontId="62" fillId="61" borderId="98" xfId="0" applyNumberFormat="1" applyFont="1" applyFill="1" applyBorder="1" applyAlignment="1">
      <alignment vertical="top"/>
    </xf>
    <xf numFmtId="0" fontId="58" fillId="2" borderId="104" xfId="4" applyFont="1" applyFill="1" applyBorder="1" applyAlignment="1">
      <alignment vertical="top"/>
    </xf>
    <xf numFmtId="0" fontId="62" fillId="0" borderId="77" xfId="4" applyFont="1" applyFill="1" applyBorder="1" applyAlignment="1">
      <alignment vertical="center"/>
    </xf>
    <xf numFmtId="3" fontId="62" fillId="59" borderId="47" xfId="0" applyNumberFormat="1" applyFont="1" applyFill="1" applyBorder="1" applyAlignment="1">
      <alignment horizontal="right" vertical="center"/>
    </xf>
    <xf numFmtId="3" fontId="62" fillId="61" borderId="47" xfId="0" applyNumberFormat="1" applyFont="1" applyFill="1" applyBorder="1" applyAlignment="1">
      <alignment horizontal="right" vertical="center"/>
    </xf>
    <xf numFmtId="3" fontId="56" fillId="26" borderId="10" xfId="0" applyNumberFormat="1" applyFont="1" applyFill="1" applyBorder="1" applyAlignment="1">
      <alignment vertical="top"/>
    </xf>
    <xf numFmtId="3" fontId="56" fillId="6" borderId="98" xfId="0" applyNumberFormat="1" applyFont="1" applyFill="1" applyBorder="1" applyAlignment="1">
      <alignment vertical="top"/>
    </xf>
    <xf numFmtId="3" fontId="58" fillId="2" borderId="98" xfId="0" applyNumberFormat="1" applyFont="1" applyFill="1" applyBorder="1" applyAlignment="1">
      <alignment vertical="top"/>
    </xf>
    <xf numFmtId="3" fontId="58" fillId="0" borderId="98" xfId="0" applyNumberFormat="1" applyFont="1" applyFill="1" applyBorder="1" applyAlignment="1">
      <alignment vertical="top"/>
    </xf>
    <xf numFmtId="0" fontId="35" fillId="24" borderId="2" xfId="0" applyFont="1" applyFill="1" applyBorder="1" applyAlignment="1">
      <alignment vertical="top"/>
    </xf>
    <xf numFmtId="3" fontId="51" fillId="0" borderId="26" xfId="0" applyNumberFormat="1" applyFont="1" applyFill="1" applyBorder="1" applyAlignment="1">
      <alignment vertical="top" wrapText="1"/>
    </xf>
    <xf numFmtId="0" fontId="52" fillId="0" borderId="0" xfId="0" applyFont="1" applyFill="1" applyBorder="1" applyAlignment="1">
      <alignment vertical="top" wrapText="1"/>
    </xf>
    <xf numFmtId="3" fontId="56" fillId="23" borderId="98" xfId="0" applyNumberFormat="1" applyFont="1" applyFill="1" applyBorder="1" applyAlignment="1">
      <alignment vertical="top"/>
    </xf>
    <xf numFmtId="3" fontId="58" fillId="26" borderId="98" xfId="0" applyNumberFormat="1" applyFont="1" applyFill="1" applyBorder="1" applyAlignment="1">
      <alignment vertical="top"/>
    </xf>
    <xf numFmtId="0" fontId="52" fillId="0" borderId="26" xfId="0" applyFont="1" applyFill="1" applyBorder="1" applyAlignment="1">
      <alignment vertical="top" wrapText="1"/>
    </xf>
    <xf numFmtId="3" fontId="62" fillId="0" borderId="100" xfId="0" applyNumberFormat="1" applyFont="1" applyFill="1" applyBorder="1" applyAlignment="1">
      <alignment vertical="center"/>
    </xf>
    <xf numFmtId="3" fontId="62" fillId="0" borderId="98" xfId="0" applyNumberFormat="1" applyFont="1" applyFill="1" applyBorder="1" applyAlignment="1">
      <alignment vertical="center"/>
    </xf>
    <xf numFmtId="3" fontId="62" fillId="59" borderId="98" xfId="0" applyNumberFormat="1" applyFont="1" applyFill="1" applyBorder="1" applyAlignment="1">
      <alignment horizontal="right" vertical="center"/>
    </xf>
    <xf numFmtId="3" fontId="62" fillId="0" borderId="98" xfId="0" applyNumberFormat="1" applyFont="1" applyFill="1" applyBorder="1" applyAlignment="1">
      <alignment horizontal="right" vertical="center"/>
    </xf>
    <xf numFmtId="0" fontId="52" fillId="0" borderId="26" xfId="0" applyFont="1" applyFill="1" applyBorder="1" applyAlignment="1">
      <alignment vertical="center" wrapText="1"/>
    </xf>
    <xf numFmtId="0" fontId="52" fillId="0" borderId="0" xfId="0" applyFont="1" applyFill="1" applyBorder="1" applyAlignment="1">
      <alignment vertical="center" wrapText="1"/>
    </xf>
    <xf numFmtId="3" fontId="52" fillId="0" borderId="47" xfId="0" applyNumberFormat="1" applyFont="1" applyFill="1" applyBorder="1" applyAlignment="1">
      <alignment horizontal="right" vertical="center"/>
    </xf>
    <xf numFmtId="0" fontId="54" fillId="0" borderId="99" xfId="0" applyFont="1" applyBorder="1" applyAlignment="1">
      <alignment horizontal="center" vertical="center" wrapText="1"/>
    </xf>
    <xf numFmtId="3" fontId="62" fillId="0" borderId="103" xfId="0" applyNumberFormat="1" applyFont="1" applyFill="1" applyBorder="1" applyAlignment="1">
      <alignment vertical="top"/>
    </xf>
    <xf numFmtId="3" fontId="62" fillId="0" borderId="102" xfId="0" applyNumberFormat="1" applyFont="1" applyFill="1" applyBorder="1" applyAlignment="1">
      <alignment vertical="top"/>
    </xf>
    <xf numFmtId="3" fontId="62" fillId="59" borderId="102" xfId="0" applyNumberFormat="1" applyFont="1" applyFill="1" applyBorder="1" applyAlignment="1">
      <alignment horizontal="right" vertical="center"/>
    </xf>
    <xf numFmtId="3" fontId="62" fillId="61" borderId="102" xfId="0" applyNumberFormat="1" applyFont="1" applyFill="1" applyBorder="1" applyAlignment="1">
      <alignment vertical="top"/>
    </xf>
    <xf numFmtId="3" fontId="62" fillId="0" borderId="102" xfId="0" applyNumberFormat="1" applyFont="1" applyFill="1" applyBorder="1" applyAlignment="1">
      <alignment horizontal="right" vertical="center"/>
    </xf>
    <xf numFmtId="3" fontId="35" fillId="24" borderId="10" xfId="0" applyNumberFormat="1" applyFont="1" applyFill="1" applyBorder="1" applyAlignment="1">
      <alignment vertical="center"/>
    </xf>
    <xf numFmtId="0" fontId="64" fillId="0" borderId="20" xfId="0" applyFont="1" applyBorder="1" applyAlignment="1">
      <alignment horizontal="center" vertical="center" wrapText="1"/>
    </xf>
    <xf numFmtId="3" fontId="59" fillId="0" borderId="9" xfId="0" applyNumberFormat="1" applyFont="1" applyFill="1" applyBorder="1" applyAlignment="1">
      <alignment horizontal="right" vertical="center"/>
    </xf>
    <xf numFmtId="3" fontId="59" fillId="59" borderId="9" xfId="0" applyNumberFormat="1" applyFont="1" applyFill="1" applyBorder="1" applyAlignment="1">
      <alignment horizontal="right" vertical="center"/>
    </xf>
    <xf numFmtId="3" fontId="59" fillId="61" borderId="9" xfId="0" applyNumberFormat="1" applyFont="1" applyFill="1" applyBorder="1" applyAlignment="1">
      <alignment horizontal="right" vertical="center"/>
    </xf>
    <xf numFmtId="3" fontId="59" fillId="24" borderId="10" xfId="0" applyNumberFormat="1" applyFont="1" applyFill="1" applyBorder="1" applyAlignment="1">
      <alignment vertical="center"/>
    </xf>
    <xf numFmtId="3" fontId="59" fillId="0" borderId="98" xfId="0" applyNumberFormat="1" applyFont="1" applyFill="1" applyBorder="1" applyAlignment="1">
      <alignment vertical="top"/>
    </xf>
    <xf numFmtId="3" fontId="59" fillId="61" borderId="9" xfId="0" applyNumberFormat="1" applyFont="1" applyFill="1" applyBorder="1" applyAlignment="1">
      <alignment horizontal="right"/>
    </xf>
    <xf numFmtId="3" fontId="59" fillId="0" borderId="9" xfId="0" applyNumberFormat="1" applyFont="1" applyFill="1" applyBorder="1" applyAlignment="1">
      <alignment horizontal="right"/>
    </xf>
    <xf numFmtId="0" fontId="80" fillId="0" borderId="0" xfId="0" applyFont="1" applyBorder="1"/>
    <xf numFmtId="3" fontId="44" fillId="0" borderId="0" xfId="0" applyNumberFormat="1" applyFont="1" applyFill="1" applyBorder="1" applyAlignment="1">
      <alignment horizontal="right" vertical="center"/>
    </xf>
    <xf numFmtId="3" fontId="56" fillId="59" borderId="9" xfId="0" applyNumberFormat="1" applyFont="1" applyFill="1" applyBorder="1" applyAlignment="1">
      <alignment vertical="top"/>
    </xf>
    <xf numFmtId="3" fontId="56" fillId="61" borderId="9" xfId="0" applyNumberFormat="1" applyFont="1" applyFill="1" applyBorder="1" applyAlignment="1">
      <alignment vertical="top"/>
    </xf>
    <xf numFmtId="0" fontId="58" fillId="2" borderId="101" xfId="4" applyFont="1" applyFill="1" applyBorder="1" applyAlignment="1">
      <alignment vertical="top"/>
    </xf>
    <xf numFmtId="3" fontId="62" fillId="61" borderId="47" xfId="0" applyNumberFormat="1" applyFont="1" applyFill="1" applyBorder="1" applyAlignment="1">
      <alignment vertical="top"/>
    </xf>
    <xf numFmtId="3" fontId="58" fillId="2" borderId="100" xfId="0" applyNumberFormat="1" applyFont="1" applyFill="1" applyBorder="1" applyAlignment="1">
      <alignment vertical="center"/>
    </xf>
    <xf numFmtId="3" fontId="58" fillId="59" borderId="100" xfId="0" applyNumberFormat="1" applyFont="1" applyFill="1" applyBorder="1" applyAlignment="1">
      <alignment vertical="center"/>
    </xf>
    <xf numFmtId="3" fontId="58" fillId="61" borderId="100" xfId="0" applyNumberFormat="1" applyFont="1" applyFill="1" applyBorder="1" applyAlignment="1">
      <alignment vertical="center"/>
    </xf>
    <xf numFmtId="3" fontId="58" fillId="27" borderId="100" xfId="0" applyNumberFormat="1" applyFont="1" applyFill="1" applyBorder="1" applyAlignment="1">
      <alignment vertical="center"/>
    </xf>
    <xf numFmtId="0" fontId="49" fillId="2" borderId="0" xfId="0" applyFont="1" applyFill="1" applyBorder="1" applyAlignment="1">
      <alignment vertical="center"/>
    </xf>
    <xf numFmtId="3" fontId="35" fillId="0" borderId="98" xfId="0" applyNumberFormat="1" applyFont="1" applyFill="1" applyBorder="1" applyAlignment="1">
      <alignment vertical="top"/>
    </xf>
    <xf numFmtId="3" fontId="35" fillId="0" borderId="35" xfId="0" applyNumberFormat="1" applyFont="1" applyFill="1" applyBorder="1" applyAlignment="1">
      <alignment vertical="top"/>
    </xf>
    <xf numFmtId="3" fontId="58" fillId="0" borderId="9" xfId="0" applyNumberFormat="1" applyFont="1" applyFill="1" applyBorder="1" applyAlignment="1">
      <alignment vertical="top"/>
    </xf>
    <xf numFmtId="3" fontId="58" fillId="26" borderId="9" xfId="0" applyNumberFormat="1" applyFont="1" applyFill="1" applyBorder="1" applyAlignment="1">
      <alignment vertical="top"/>
    </xf>
    <xf numFmtId="3" fontId="56" fillId="6" borderId="100" xfId="0" applyNumberFormat="1" applyFont="1" applyFill="1" applyBorder="1" applyAlignment="1">
      <alignment vertical="center"/>
    </xf>
    <xf numFmtId="3" fontId="56" fillId="23" borderId="98" xfId="0" applyNumberFormat="1" applyFont="1" applyFill="1" applyBorder="1" applyAlignment="1">
      <alignment vertical="center"/>
    </xf>
    <xf numFmtId="3" fontId="58" fillId="33" borderId="100" xfId="0" applyNumberFormat="1" applyFont="1" applyFill="1" applyBorder="1" applyAlignment="1">
      <alignment vertical="center"/>
    </xf>
    <xf numFmtId="3" fontId="0" fillId="0" borderId="0" xfId="0" applyNumberFormat="1" applyFont="1" applyBorder="1" applyAlignment="1">
      <alignment vertical="center"/>
    </xf>
    <xf numFmtId="3" fontId="62" fillId="33" borderId="100" xfId="0" applyNumberFormat="1" applyFont="1" applyFill="1" applyBorder="1" applyAlignment="1">
      <alignment vertical="top"/>
    </xf>
    <xf numFmtId="3" fontId="59" fillId="64" borderId="100" xfId="0" applyNumberFormat="1" applyFont="1" applyFill="1" applyBorder="1" applyAlignment="1">
      <alignment vertical="top"/>
    </xf>
    <xf numFmtId="3" fontId="59" fillId="58" borderId="100" xfId="0" applyNumberFormat="1" applyFont="1" applyFill="1" applyBorder="1" applyAlignment="1">
      <alignment vertical="center"/>
    </xf>
    <xf numFmtId="3" fontId="73" fillId="58" borderId="9" xfId="0" applyNumberFormat="1" applyFont="1" applyFill="1" applyBorder="1" applyAlignment="1">
      <alignment vertical="center"/>
    </xf>
    <xf numFmtId="3" fontId="73" fillId="58" borderId="35" xfId="0" applyNumberFormat="1" applyFont="1" applyFill="1" applyBorder="1" applyAlignment="1">
      <alignment vertical="center"/>
    </xf>
    <xf numFmtId="3" fontId="59" fillId="65" borderId="100" xfId="0" applyNumberFormat="1" applyFont="1" applyFill="1" applyBorder="1" applyAlignment="1">
      <alignment vertical="top"/>
    </xf>
    <xf numFmtId="43" fontId="62" fillId="26" borderId="98" xfId="1" applyFont="1" applyFill="1" applyBorder="1" applyAlignment="1">
      <alignment vertical="top"/>
    </xf>
    <xf numFmtId="3" fontId="59" fillId="57" borderId="100" xfId="0" applyNumberFormat="1" applyFont="1" applyFill="1" applyBorder="1" applyAlignment="1">
      <alignment vertical="top"/>
    </xf>
    <xf numFmtId="3" fontId="62" fillId="57" borderId="35" xfId="0" applyNumberFormat="1" applyFont="1" applyFill="1" applyBorder="1" applyAlignment="1">
      <alignment vertical="top"/>
    </xf>
    <xf numFmtId="43" fontId="59" fillId="26" borderId="98" xfId="1" applyFont="1" applyFill="1" applyBorder="1" applyAlignment="1">
      <alignment vertical="center"/>
    </xf>
    <xf numFmtId="3" fontId="69" fillId="0" borderId="0" xfId="0" applyNumberFormat="1" applyFont="1" applyBorder="1" applyAlignment="1">
      <alignment vertical="center"/>
    </xf>
    <xf numFmtId="0" fontId="54" fillId="0" borderId="28" xfId="0" applyFont="1" applyBorder="1" applyAlignment="1">
      <alignment horizontal="center" vertical="center" wrapText="1"/>
    </xf>
    <xf numFmtId="3" fontId="62" fillId="59" borderId="100" xfId="0" applyNumberFormat="1" applyFont="1" applyFill="1" applyBorder="1" applyAlignment="1">
      <alignment horizontal="right" vertical="center"/>
    </xf>
    <xf numFmtId="3" fontId="62" fillId="0" borderId="100" xfId="0" applyNumberFormat="1" applyFont="1" applyFill="1" applyBorder="1" applyAlignment="1">
      <alignment horizontal="right" vertical="center"/>
    </xf>
    <xf numFmtId="0" fontId="59" fillId="63" borderId="6" xfId="0" applyFont="1" applyFill="1" applyBorder="1" applyAlignment="1">
      <alignment vertical="top"/>
    </xf>
    <xf numFmtId="3" fontId="59" fillId="63" borderId="9" xfId="0" applyNumberFormat="1" applyFont="1" applyFill="1" applyBorder="1" applyAlignment="1">
      <alignment vertical="center"/>
    </xf>
    <xf numFmtId="3" fontId="59" fillId="63" borderId="9" xfId="0" applyNumberFormat="1" applyFont="1" applyFill="1" applyBorder="1" applyAlignment="1">
      <alignment vertical="top"/>
    </xf>
    <xf numFmtId="3" fontId="59" fillId="63" borderId="9" xfId="0" applyNumberFormat="1" applyFont="1" applyFill="1" applyBorder="1" applyAlignment="1">
      <alignment horizontal="right" vertical="center"/>
    </xf>
    <xf numFmtId="3" fontId="59" fillId="67" borderId="35" xfId="0" applyNumberFormat="1" applyFont="1" applyFill="1" applyBorder="1" applyAlignment="1">
      <alignment vertical="center"/>
    </xf>
    <xf numFmtId="0" fontId="59" fillId="64" borderId="28" xfId="0" applyFont="1" applyFill="1" applyBorder="1" applyAlignment="1">
      <alignment vertical="top"/>
    </xf>
    <xf numFmtId="0" fontId="59" fillId="58" borderId="99" xfId="0" applyFont="1" applyFill="1" applyBorder="1" applyAlignment="1">
      <alignment vertical="center"/>
    </xf>
    <xf numFmtId="3" fontId="59" fillId="58" borderId="9" xfId="0" applyNumberFormat="1" applyFont="1" applyFill="1" applyBorder="1" applyAlignment="1">
      <alignment horizontal="right"/>
    </xf>
    <xf numFmtId="3" fontId="59" fillId="58" borderId="9" xfId="0" applyNumberFormat="1" applyFont="1" applyFill="1" applyBorder="1" applyAlignment="1">
      <alignment horizontal="right" vertical="center"/>
    </xf>
    <xf numFmtId="0" fontId="59" fillId="65" borderId="28" xfId="0" applyFont="1" applyFill="1" applyBorder="1" applyAlignment="1">
      <alignment vertical="top"/>
    </xf>
    <xf numFmtId="0" fontId="62" fillId="57" borderId="99" xfId="0" applyFont="1" applyFill="1" applyBorder="1" applyAlignment="1">
      <alignment vertical="top"/>
    </xf>
    <xf numFmtId="3" fontId="59" fillId="57" borderId="9" xfId="0" applyNumberFormat="1" applyFont="1" applyFill="1" applyBorder="1" applyAlignment="1">
      <alignment horizontal="right" vertical="center"/>
    </xf>
    <xf numFmtId="0" fontId="62" fillId="57" borderId="28" xfId="0" applyFont="1" applyFill="1" applyBorder="1" applyAlignment="1">
      <alignment vertical="top"/>
    </xf>
    <xf numFmtId="3" fontId="56" fillId="6" borderId="9" xfId="0" applyNumberFormat="1" applyFont="1" applyFill="1" applyBorder="1" applyAlignment="1">
      <alignment vertical="center"/>
    </xf>
    <xf numFmtId="3" fontId="56" fillId="59" borderId="9" xfId="0" applyNumberFormat="1" applyFont="1" applyFill="1" applyBorder="1" applyAlignment="1">
      <alignment vertical="center"/>
    </xf>
    <xf numFmtId="3" fontId="56" fillId="61" borderId="9" xfId="0" applyNumberFormat="1" applyFont="1" applyFill="1" applyBorder="1" applyAlignment="1">
      <alignment vertical="center"/>
    </xf>
    <xf numFmtId="3" fontId="56" fillId="6" borderId="98" xfId="0" applyNumberFormat="1" applyFont="1" applyFill="1" applyBorder="1" applyAlignment="1">
      <alignment vertical="center"/>
    </xf>
    <xf numFmtId="3" fontId="52" fillId="0" borderId="26" xfId="0" applyNumberFormat="1" applyFont="1" applyFill="1" applyBorder="1" applyAlignment="1">
      <alignment vertical="top" wrapText="1"/>
    </xf>
    <xf numFmtId="43" fontId="58" fillId="26" borderId="98" xfId="1" applyFont="1" applyFill="1" applyBorder="1" applyAlignment="1">
      <alignment vertical="center"/>
    </xf>
    <xf numFmtId="3" fontId="59" fillId="65" borderId="100" xfId="0" applyNumberFormat="1" applyFont="1" applyFill="1" applyBorder="1" applyAlignment="1">
      <alignment vertical="center"/>
    </xf>
    <xf numFmtId="3" fontId="58" fillId="0" borderId="100" xfId="0" applyNumberFormat="1" applyFont="1" applyFill="1" applyBorder="1" applyAlignment="1">
      <alignment vertical="center"/>
    </xf>
    <xf numFmtId="3" fontId="58" fillId="0" borderId="98" xfId="0" applyNumberFormat="1" applyFont="1" applyFill="1" applyBorder="1" applyAlignment="1">
      <alignment vertical="center"/>
    </xf>
    <xf numFmtId="3" fontId="62" fillId="24" borderId="98" xfId="0" applyNumberFormat="1" applyFont="1" applyFill="1" applyBorder="1" applyAlignment="1">
      <alignment vertical="center"/>
    </xf>
    <xf numFmtId="3" fontId="58" fillId="59" borderId="9" xfId="4" applyNumberFormat="1" applyFont="1" applyFill="1" applyBorder="1" applyAlignment="1">
      <alignment horizontal="right" vertical="center"/>
    </xf>
    <xf numFmtId="3" fontId="58" fillId="61" borderId="9" xfId="4" applyNumberFormat="1" applyFont="1" applyFill="1" applyBorder="1" applyAlignment="1">
      <alignment horizontal="right" vertical="center"/>
    </xf>
    <xf numFmtId="3" fontId="58" fillId="59" borderId="27" xfId="4" applyNumberFormat="1" applyFont="1" applyFill="1" applyBorder="1" applyAlignment="1">
      <alignment horizontal="right" vertical="center"/>
    </xf>
    <xf numFmtId="3" fontId="58" fillId="61" borderId="27" xfId="4" applyNumberFormat="1" applyFont="1" applyFill="1" applyBorder="1" applyAlignment="1">
      <alignment horizontal="right" vertical="center"/>
    </xf>
    <xf numFmtId="3" fontId="58" fillId="57" borderId="12" xfId="4" applyNumberFormat="1" applyFont="1" applyFill="1" applyBorder="1" applyAlignment="1">
      <alignment horizontal="right" vertical="center"/>
    </xf>
    <xf numFmtId="0" fontId="55" fillId="29" borderId="11" xfId="0" applyFont="1" applyFill="1" applyBorder="1" applyAlignment="1">
      <alignment vertical="center"/>
    </xf>
    <xf numFmtId="3" fontId="56" fillId="23" borderId="35" xfId="0" applyNumberFormat="1" applyFont="1" applyFill="1" applyBorder="1" applyAlignment="1">
      <alignment vertical="center"/>
    </xf>
    <xf numFmtId="3" fontId="48" fillId="0" borderId="0" xfId="0" applyNumberFormat="1" applyFont="1" applyBorder="1" applyAlignment="1">
      <alignment vertical="center"/>
    </xf>
    <xf numFmtId="0" fontId="48" fillId="0" borderId="0" xfId="0" applyFont="1" applyBorder="1" applyAlignment="1">
      <alignment vertical="center"/>
    </xf>
    <xf numFmtId="3" fontId="58" fillId="8" borderId="98" xfId="0" applyNumberFormat="1" applyFont="1" applyFill="1" applyBorder="1" applyAlignment="1">
      <alignment vertical="center"/>
    </xf>
    <xf numFmtId="3" fontId="58" fillId="59" borderId="98" xfId="0" applyNumberFormat="1" applyFont="1" applyFill="1" applyBorder="1" applyAlignment="1">
      <alignment vertical="center"/>
    </xf>
    <xf numFmtId="3" fontId="58" fillId="61" borderId="98" xfId="0" applyNumberFormat="1" applyFont="1" applyFill="1" applyBorder="1" applyAlignment="1">
      <alignment vertical="center"/>
    </xf>
    <xf numFmtId="3" fontId="58" fillId="24" borderId="98" xfId="0" applyNumberFormat="1" applyFont="1" applyFill="1" applyBorder="1" applyAlignment="1">
      <alignment vertical="center"/>
    </xf>
    <xf numFmtId="0" fontId="52" fillId="0" borderId="0" xfId="0" applyFont="1" applyFill="1" applyBorder="1" applyAlignment="1">
      <alignment vertical="center"/>
    </xf>
    <xf numFmtId="3" fontId="52" fillId="0" borderId="0" xfId="0" applyNumberFormat="1" applyFont="1" applyFill="1" applyBorder="1" applyAlignment="1">
      <alignment vertical="center"/>
    </xf>
    <xf numFmtId="0" fontId="52" fillId="34" borderId="0" xfId="0" applyFont="1" applyFill="1" applyBorder="1" applyAlignment="1">
      <alignment vertical="center"/>
    </xf>
    <xf numFmtId="3" fontId="62" fillId="29" borderId="98" xfId="0" applyNumberFormat="1" applyFont="1" applyFill="1" applyBorder="1" applyAlignment="1">
      <alignment vertical="center"/>
    </xf>
    <xf numFmtId="3" fontId="62" fillId="60" borderId="98" xfId="0" applyNumberFormat="1" applyFont="1" applyFill="1" applyBorder="1" applyAlignment="1">
      <alignment vertical="center"/>
    </xf>
    <xf numFmtId="3" fontId="62" fillId="62" borderId="98" xfId="0" applyNumberFormat="1" applyFont="1" applyFill="1" applyBorder="1" applyAlignment="1">
      <alignment vertical="center"/>
    </xf>
    <xf numFmtId="3" fontId="55" fillId="60" borderId="35" xfId="0" applyNumberFormat="1" applyFont="1" applyFill="1" applyBorder="1" applyAlignment="1">
      <alignment vertical="center"/>
    </xf>
    <xf numFmtId="3" fontId="55" fillId="62" borderId="35" xfId="0" applyNumberFormat="1" applyFont="1" applyFill="1" applyBorder="1" applyAlignment="1">
      <alignment vertical="center"/>
    </xf>
    <xf numFmtId="3" fontId="62" fillId="29" borderId="13" xfId="0" applyNumberFormat="1" applyFont="1" applyFill="1" applyBorder="1" applyAlignment="1">
      <alignment vertical="center"/>
    </xf>
    <xf numFmtId="0" fontId="56" fillId="8" borderId="19" xfId="0" applyFont="1" applyFill="1" applyBorder="1" applyAlignment="1">
      <alignment vertical="center" wrapText="1"/>
    </xf>
    <xf numFmtId="0" fontId="56" fillId="8" borderId="16" xfId="0" applyFont="1" applyFill="1" applyBorder="1" applyAlignment="1">
      <alignment horizontal="center" vertical="center" wrapText="1"/>
    </xf>
    <xf numFmtId="43" fontId="56" fillId="6" borderId="100" xfId="1" applyFont="1" applyFill="1" applyBorder="1" applyAlignment="1">
      <alignment vertical="top"/>
    </xf>
    <xf numFmtId="43" fontId="58" fillId="0" borderId="100" xfId="1" applyFont="1" applyFill="1" applyBorder="1" applyAlignment="1">
      <alignment vertical="top"/>
    </xf>
    <xf numFmtId="3" fontId="58" fillId="26" borderId="100" xfId="0" applyNumberFormat="1" applyFont="1" applyFill="1" applyBorder="1" applyAlignment="1">
      <alignment vertical="top"/>
    </xf>
    <xf numFmtId="0" fontId="62" fillId="0" borderId="77" xfId="0" applyFont="1" applyFill="1" applyBorder="1" applyAlignment="1">
      <alignment vertical="top"/>
    </xf>
    <xf numFmtId="3" fontId="62" fillId="59" borderId="47" xfId="0" applyNumberFormat="1" applyFont="1" applyFill="1" applyBorder="1" applyAlignment="1">
      <alignment vertical="top"/>
    </xf>
    <xf numFmtId="43" fontId="62" fillId="0" borderId="47" xfId="1" applyFont="1" applyFill="1" applyBorder="1" applyAlignment="1">
      <alignment vertical="top"/>
    </xf>
    <xf numFmtId="3" fontId="35" fillId="24" borderId="47" xfId="0" applyNumberFormat="1" applyFont="1" applyFill="1" applyBorder="1" applyAlignment="1">
      <alignment vertical="center"/>
    </xf>
    <xf numFmtId="0" fontId="56" fillId="8" borderId="20" xfId="0" applyFont="1" applyFill="1" applyBorder="1" applyAlignment="1">
      <alignment horizontal="center" vertical="center" wrapText="1"/>
    </xf>
    <xf numFmtId="3" fontId="55" fillId="23" borderId="100" xfId="0" applyNumberFormat="1" applyFont="1" applyFill="1" applyBorder="1" applyAlignment="1">
      <alignment vertical="top"/>
    </xf>
    <xf numFmtId="3" fontId="60" fillId="27" borderId="100" xfId="0" applyNumberFormat="1" applyFont="1" applyFill="1" applyBorder="1" applyAlignment="1">
      <alignment vertical="center"/>
    </xf>
    <xf numFmtId="0" fontId="62" fillId="2" borderId="77" xfId="0" applyFont="1" applyFill="1" applyBorder="1" applyAlignment="1">
      <alignment vertical="center"/>
    </xf>
    <xf numFmtId="3" fontId="62" fillId="2" borderId="47" xfId="0" applyNumberFormat="1" applyFont="1" applyFill="1" applyBorder="1" applyAlignment="1">
      <alignment vertical="top"/>
    </xf>
    <xf numFmtId="3" fontId="62" fillId="33" borderId="47" xfId="0" applyNumberFormat="1" applyFont="1" applyFill="1" applyBorder="1" applyAlignment="1">
      <alignment vertical="top"/>
    </xf>
    <xf numFmtId="43" fontId="62" fillId="33" borderId="47" xfId="1" applyFont="1" applyFill="1" applyBorder="1" applyAlignment="1">
      <alignment vertical="top"/>
    </xf>
    <xf numFmtId="3" fontId="55" fillId="23" borderId="3" xfId="0" applyNumberFormat="1" applyFont="1" applyFill="1" applyBorder="1" applyAlignment="1">
      <alignment vertical="top"/>
    </xf>
    <xf numFmtId="0" fontId="62" fillId="6" borderId="100" xfId="0" applyFont="1" applyFill="1" applyBorder="1" applyAlignment="1">
      <alignment vertical="top"/>
    </xf>
    <xf numFmtId="43" fontId="58" fillId="2" borderId="100" xfId="1" applyFont="1" applyFill="1" applyBorder="1" applyAlignment="1">
      <alignment vertical="center"/>
    </xf>
    <xf numFmtId="0" fontId="0" fillId="0" borderId="32" xfId="0" applyFont="1" applyBorder="1"/>
    <xf numFmtId="3" fontId="0" fillId="0" borderId="98" xfId="0" applyNumberFormat="1" applyFont="1" applyBorder="1"/>
    <xf numFmtId="3" fontId="0" fillId="59" borderId="98" xfId="0" applyNumberFormat="1" applyFont="1" applyFill="1" applyBorder="1"/>
    <xf numFmtId="3" fontId="0" fillId="61" borderId="98" xfId="0" applyNumberFormat="1" applyFont="1" applyFill="1" applyBorder="1"/>
    <xf numFmtId="43" fontId="0" fillId="0" borderId="98" xfId="1" applyFont="1" applyBorder="1"/>
    <xf numFmtId="43" fontId="0" fillId="0" borderId="103" xfId="1" applyFont="1" applyBorder="1"/>
    <xf numFmtId="3" fontId="63" fillId="0" borderId="98" xfId="0" applyNumberFormat="1" applyFont="1" applyBorder="1"/>
    <xf numFmtId="3" fontId="63" fillId="59" borderId="98" xfId="0" applyNumberFormat="1" applyFont="1" applyFill="1" applyBorder="1"/>
    <xf numFmtId="3" fontId="63" fillId="61" borderId="98" xfId="0" applyNumberFormat="1" applyFont="1" applyFill="1" applyBorder="1"/>
    <xf numFmtId="43" fontId="63" fillId="0" borderId="98" xfId="1" applyFont="1" applyBorder="1"/>
    <xf numFmtId="43" fontId="56" fillId="6" borderId="98" xfId="1" applyFont="1" applyFill="1" applyBorder="1" applyAlignment="1">
      <alignment vertical="top"/>
    </xf>
    <xf numFmtId="43" fontId="58" fillId="2" borderId="35" xfId="1" applyFont="1" applyFill="1" applyBorder="1" applyAlignment="1">
      <alignment vertical="center"/>
    </xf>
    <xf numFmtId="43" fontId="58" fillId="2" borderId="9" xfId="1" applyFont="1" applyFill="1" applyBorder="1" applyAlignment="1">
      <alignment vertical="center"/>
    </xf>
    <xf numFmtId="3" fontId="63" fillId="0" borderId="47" xfId="0" applyNumberFormat="1" applyFont="1" applyBorder="1"/>
    <xf numFmtId="3" fontId="63" fillId="59" borderId="47" xfId="0" applyNumberFormat="1" applyFont="1" applyFill="1" applyBorder="1"/>
    <xf numFmtId="3" fontId="63" fillId="61" borderId="47" xfId="0" applyNumberFormat="1" applyFont="1" applyFill="1" applyBorder="1"/>
    <xf numFmtId="43" fontId="63" fillId="0" borderId="47" xfId="1" applyFont="1" applyBorder="1"/>
    <xf numFmtId="43" fontId="63" fillId="0" borderId="12" xfId="1" applyFont="1" applyBorder="1"/>
    <xf numFmtId="0" fontId="68" fillId="0" borderId="0" xfId="0" applyFont="1" applyBorder="1" applyAlignment="1">
      <alignment vertical="top"/>
    </xf>
    <xf numFmtId="0" fontId="0" fillId="0" borderId="0" xfId="0" applyFont="1" applyFill="1" applyBorder="1" applyAlignment="1">
      <alignment vertical="top"/>
    </xf>
    <xf numFmtId="0" fontId="0" fillId="0" borderId="0" xfId="0" applyFont="1" applyBorder="1" applyAlignment="1">
      <alignment horizontal="center" vertical="top" wrapText="1"/>
    </xf>
    <xf numFmtId="3" fontId="69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center" vertical="top"/>
    </xf>
    <xf numFmtId="0" fontId="50" fillId="0" borderId="1" xfId="0" applyFont="1" applyBorder="1" applyAlignment="1">
      <alignment vertical="top"/>
    </xf>
    <xf numFmtId="0" fontId="51" fillId="0" borderId="3" xfId="0" applyFont="1" applyBorder="1" applyAlignment="1">
      <alignment vertical="top" wrapText="1"/>
    </xf>
    <xf numFmtId="0" fontId="0" fillId="0" borderId="3" xfId="0" applyFont="1" applyBorder="1" applyAlignment="1">
      <alignment vertical="top"/>
    </xf>
    <xf numFmtId="0" fontId="0" fillId="0" borderId="3" xfId="0" applyFont="1" applyFill="1" applyBorder="1" applyAlignment="1">
      <alignment vertical="top"/>
    </xf>
    <xf numFmtId="0" fontId="0" fillId="59" borderId="3" xfId="0" applyFont="1" applyFill="1" applyBorder="1" applyAlignment="1">
      <alignment vertical="top"/>
    </xf>
    <xf numFmtId="0" fontId="0" fillId="61" borderId="3" xfId="0" applyFont="1" applyFill="1" applyBorder="1" applyAlignment="1">
      <alignment vertical="top"/>
    </xf>
    <xf numFmtId="0" fontId="0" fillId="0" borderId="66" xfId="0" applyFont="1" applyBorder="1" applyAlignment="1">
      <alignment horizontal="center" vertical="top" wrapText="1"/>
    </xf>
    <xf numFmtId="0" fontId="50" fillId="0" borderId="26" xfId="0" applyFont="1" applyBorder="1" applyAlignment="1">
      <alignment vertical="top"/>
    </xf>
    <xf numFmtId="0" fontId="0" fillId="0" borderId="67" xfId="0" applyFont="1" applyBorder="1" applyAlignment="1">
      <alignment horizontal="center" vertical="top" wrapText="1"/>
    </xf>
    <xf numFmtId="0" fontId="50" fillId="0" borderId="68" xfId="0" applyFont="1" applyBorder="1" applyAlignment="1">
      <alignment vertical="top"/>
    </xf>
    <xf numFmtId="0" fontId="0" fillId="0" borderId="24" xfId="0" applyFont="1" applyBorder="1" applyAlignment="1">
      <alignment vertical="top"/>
    </xf>
    <xf numFmtId="0" fontId="0" fillId="0" borderId="24" xfId="0" applyFont="1" applyFill="1" applyBorder="1" applyAlignment="1">
      <alignment vertical="top"/>
    </xf>
    <xf numFmtId="0" fontId="0" fillId="59" borderId="24" xfId="0" applyFont="1" applyFill="1" applyBorder="1" applyAlignment="1">
      <alignment vertical="top"/>
    </xf>
    <xf numFmtId="0" fontId="0" fillId="61" borderId="24" xfId="0" applyFont="1" applyFill="1" applyBorder="1" applyAlignment="1">
      <alignment vertical="top"/>
    </xf>
    <xf numFmtId="0" fontId="0" fillId="0" borderId="69" xfId="0" applyFont="1" applyBorder="1" applyAlignment="1">
      <alignment horizontal="center" vertical="top" wrapText="1"/>
    </xf>
    <xf numFmtId="0" fontId="0" fillId="59" borderId="26" xfId="0" applyFont="1" applyFill="1" applyBorder="1" applyAlignment="1">
      <alignment vertical="top"/>
    </xf>
    <xf numFmtId="3" fontId="120" fillId="6" borderId="100" xfId="0" applyNumberFormat="1" applyFont="1" applyFill="1" applyBorder="1" applyAlignment="1">
      <alignment vertical="top"/>
    </xf>
    <xf numFmtId="3" fontId="120" fillId="59" borderId="100" xfId="0" applyNumberFormat="1" applyFont="1" applyFill="1" applyBorder="1" applyAlignment="1">
      <alignment vertical="top"/>
    </xf>
    <xf numFmtId="3" fontId="120" fillId="61" borderId="100" xfId="0" applyNumberFormat="1" applyFont="1" applyFill="1" applyBorder="1" applyAlignment="1">
      <alignment vertical="top"/>
    </xf>
    <xf numFmtId="3" fontId="120" fillId="23" borderId="98" xfId="0" applyNumberFormat="1" applyFont="1" applyFill="1" applyBorder="1" applyAlignment="1">
      <alignment vertical="top"/>
    </xf>
    <xf numFmtId="3" fontId="120" fillId="0" borderId="100" xfId="0" applyNumberFormat="1" applyFont="1" applyFill="1" applyBorder="1" applyAlignment="1">
      <alignment vertical="top"/>
    </xf>
    <xf numFmtId="3" fontId="121" fillId="23" borderId="98" xfId="0" applyNumberFormat="1" applyFont="1" applyFill="1" applyBorder="1" applyAlignment="1">
      <alignment vertical="top"/>
    </xf>
    <xf numFmtId="0" fontId="117" fillId="0" borderId="36" xfId="4" applyFont="1" applyFill="1" applyBorder="1" applyAlignment="1">
      <alignment horizontal="left" vertical="center"/>
    </xf>
    <xf numFmtId="3" fontId="117" fillId="0" borderId="100" xfId="0" applyNumberFormat="1" applyFont="1" applyFill="1" applyBorder="1" applyAlignment="1">
      <alignment vertical="center"/>
    </xf>
    <xf numFmtId="3" fontId="117" fillId="0" borderId="100" xfId="0" applyNumberFormat="1" applyFont="1" applyFill="1" applyBorder="1" applyAlignment="1">
      <alignment vertical="top"/>
    </xf>
    <xf numFmtId="3" fontId="117" fillId="59" borderId="100" xfId="0" applyNumberFormat="1" applyFont="1" applyFill="1" applyBorder="1" applyAlignment="1">
      <alignment vertical="top"/>
    </xf>
    <xf numFmtId="3" fontId="117" fillId="61" borderId="100" xfId="0" applyNumberFormat="1" applyFont="1" applyFill="1" applyBorder="1" applyAlignment="1">
      <alignment vertical="top"/>
    </xf>
    <xf numFmtId="3" fontId="117" fillId="61" borderId="98" xfId="0" applyNumberFormat="1" applyFont="1" applyFill="1" applyBorder="1" applyAlignment="1">
      <alignment horizontal="right" vertical="center"/>
    </xf>
    <xf numFmtId="3" fontId="117" fillId="0" borderId="98" xfId="0" applyNumberFormat="1" applyFont="1" applyFill="1" applyBorder="1" applyAlignment="1">
      <alignment horizontal="right" vertical="center"/>
    </xf>
    <xf numFmtId="3" fontId="117" fillId="0" borderId="35" xfId="0" applyNumberFormat="1" applyFont="1" applyFill="1" applyBorder="1" applyAlignment="1">
      <alignment horizontal="right" vertical="center"/>
    </xf>
    <xf numFmtId="3" fontId="119" fillId="24" borderId="98" xfId="0" applyNumberFormat="1" applyFont="1" applyFill="1" applyBorder="1" applyAlignment="1">
      <alignment vertical="center"/>
    </xf>
    <xf numFmtId="3" fontId="121" fillId="0" borderId="100" xfId="0" applyNumberFormat="1" applyFont="1" applyFill="1" applyBorder="1" applyAlignment="1">
      <alignment vertical="top"/>
    </xf>
    <xf numFmtId="3" fontId="121" fillId="59" borderId="100" xfId="0" applyNumberFormat="1" applyFont="1" applyFill="1" applyBorder="1" applyAlignment="1">
      <alignment vertical="top"/>
    </xf>
    <xf numFmtId="3" fontId="121" fillId="61" borderId="100" xfId="0" applyNumberFormat="1" applyFont="1" applyFill="1" applyBorder="1" applyAlignment="1">
      <alignment vertical="top"/>
    </xf>
    <xf numFmtId="3" fontId="121" fillId="0" borderId="98" xfId="0" applyNumberFormat="1" applyFont="1" applyFill="1" applyBorder="1" applyAlignment="1">
      <alignment vertical="top"/>
    </xf>
    <xf numFmtId="0" fontId="117" fillId="0" borderId="32" xfId="4" applyFont="1" applyFill="1" applyBorder="1" applyAlignment="1">
      <alignment vertical="center"/>
    </xf>
    <xf numFmtId="3" fontId="117" fillId="59" borderId="98" xfId="0" applyNumberFormat="1" applyFont="1" applyFill="1" applyBorder="1" applyAlignment="1">
      <alignment horizontal="right" vertical="center"/>
    </xf>
    <xf numFmtId="0" fontId="119" fillId="6" borderId="20" xfId="0" applyFont="1" applyFill="1" applyBorder="1" applyAlignment="1">
      <alignment horizontal="left" vertical="center" wrapText="1"/>
    </xf>
    <xf numFmtId="3" fontId="120" fillId="6" borderId="9" xfId="0" applyNumberFormat="1" applyFont="1" applyFill="1" applyBorder="1" applyAlignment="1">
      <alignment vertical="top"/>
    </xf>
    <xf numFmtId="3" fontId="120" fillId="59" borderId="9" xfId="0" applyNumberFormat="1" applyFont="1" applyFill="1" applyBorder="1" applyAlignment="1">
      <alignment vertical="top"/>
    </xf>
    <xf numFmtId="3" fontId="120" fillId="61" borderId="9" xfId="0" applyNumberFormat="1" applyFont="1" applyFill="1" applyBorder="1" applyAlignment="1">
      <alignment vertical="top"/>
    </xf>
    <xf numFmtId="3" fontId="120" fillId="0" borderId="9" xfId="0" applyNumberFormat="1" applyFont="1" applyFill="1" applyBorder="1" applyAlignment="1">
      <alignment vertical="top"/>
    </xf>
    <xf numFmtId="3" fontId="117" fillId="59" borderId="9" xfId="0" applyNumberFormat="1" applyFont="1" applyFill="1" applyBorder="1" applyAlignment="1">
      <alignment vertical="top"/>
    </xf>
    <xf numFmtId="3" fontId="117" fillId="61" borderId="9" xfId="0" applyNumberFormat="1" applyFont="1" applyFill="1" applyBorder="1" applyAlignment="1">
      <alignment vertical="top"/>
    </xf>
    <xf numFmtId="0" fontId="121" fillId="2" borderId="101" xfId="4" applyFont="1" applyFill="1" applyBorder="1" applyAlignment="1">
      <alignment vertical="top"/>
    </xf>
    <xf numFmtId="0" fontId="117" fillId="0" borderId="77" xfId="4" applyFont="1" applyFill="1" applyBorder="1" applyAlignment="1">
      <alignment vertical="center"/>
    </xf>
    <xf numFmtId="3" fontId="117" fillId="59" borderId="47" xfId="0" applyNumberFormat="1" applyFont="1" applyFill="1" applyBorder="1" applyAlignment="1">
      <alignment horizontal="right" vertical="center"/>
    </xf>
    <xf numFmtId="3" fontId="117" fillId="61" borderId="47" xfId="0" applyNumberFormat="1" applyFont="1" applyFill="1" applyBorder="1" applyAlignment="1">
      <alignment horizontal="right" vertical="center"/>
    </xf>
    <xf numFmtId="3" fontId="117" fillId="61" borderId="47" xfId="0" applyNumberFormat="1" applyFont="1" applyFill="1" applyBorder="1" applyAlignment="1">
      <alignment vertical="top"/>
    </xf>
    <xf numFmtId="3" fontId="117" fillId="0" borderId="72" xfId="0" applyNumberFormat="1" applyFont="1" applyFill="1" applyBorder="1" applyAlignment="1">
      <alignment vertical="top"/>
    </xf>
    <xf numFmtId="0" fontId="0" fillId="0" borderId="0" xfId="0" applyFont="1" applyBorder="1"/>
    <xf numFmtId="3" fontId="117" fillId="0" borderId="47" xfId="4" applyNumberFormat="1" applyFont="1" applyFill="1" applyBorder="1" applyAlignment="1"/>
    <xf numFmtId="3" fontId="35" fillId="13" borderId="100" xfId="4" applyNumberFormat="1" applyFont="1" applyFill="1" applyBorder="1" applyAlignment="1">
      <alignment horizontal="right" vertical="center"/>
    </xf>
    <xf numFmtId="3" fontId="63" fillId="13" borderId="100" xfId="6" applyNumberFormat="1" applyFont="1" applyFill="1" applyBorder="1" applyAlignment="1">
      <alignment vertical="center"/>
    </xf>
    <xf numFmtId="0" fontId="116" fillId="8" borderId="45" xfId="4" applyFont="1" applyFill="1" applyBorder="1" applyAlignment="1">
      <alignment vertical="center" wrapText="1"/>
    </xf>
    <xf numFmtId="3" fontId="116" fillId="6" borderId="30" xfId="0" applyNumberFormat="1" applyFont="1" applyFill="1" applyBorder="1" applyAlignment="1">
      <alignment horizontal="right" vertical="center"/>
    </xf>
    <xf numFmtId="3" fontId="159" fillId="0" borderId="30" xfId="0" applyNumberFormat="1" applyFont="1" applyFill="1" applyBorder="1" applyAlignment="1">
      <alignment horizontal="right" vertical="center"/>
    </xf>
    <xf numFmtId="3" fontId="119" fillId="0" borderId="13" xfId="0" applyNumberFormat="1" applyFont="1" applyFill="1" applyBorder="1" applyAlignment="1">
      <alignment horizontal="right" vertical="center"/>
    </xf>
    <xf numFmtId="3" fontId="119" fillId="0" borderId="65" xfId="4" applyNumberFormat="1" applyFont="1" applyFill="1" applyBorder="1" applyAlignment="1"/>
    <xf numFmtId="0" fontId="116" fillId="6" borderId="32" xfId="4" applyFont="1" applyFill="1" applyBorder="1" applyAlignment="1">
      <alignment horizontal="left" vertical="center"/>
    </xf>
    <xf numFmtId="3" fontId="159" fillId="2" borderId="32" xfId="4" applyNumberFormat="1" applyFont="1" applyFill="1" applyBorder="1" applyAlignment="1">
      <alignment vertical="top" wrapText="1"/>
    </xf>
    <xf numFmtId="0" fontId="119" fillId="0" borderId="81" xfId="4" applyFont="1" applyFill="1" applyBorder="1" applyAlignment="1">
      <alignment vertical="top"/>
    </xf>
    <xf numFmtId="0" fontId="119" fillId="0" borderId="83" xfId="4" applyFont="1" applyFill="1" applyBorder="1" applyAlignment="1">
      <alignment vertical="top"/>
    </xf>
    <xf numFmtId="3" fontId="159" fillId="0" borderId="35" xfId="0" applyNumberFormat="1" applyFont="1" applyFill="1" applyBorder="1" applyAlignment="1">
      <alignment horizontal="right" vertical="center"/>
    </xf>
    <xf numFmtId="3" fontId="119" fillId="2" borderId="72" xfId="4" applyNumberFormat="1" applyFont="1" applyFill="1" applyBorder="1" applyAlignment="1"/>
    <xf numFmtId="3" fontId="121" fillId="0" borderId="27" xfId="4" applyNumberFormat="1" applyFont="1" applyFill="1" applyBorder="1" applyAlignment="1">
      <alignment horizontal="right" vertical="center"/>
    </xf>
    <xf numFmtId="3" fontId="117" fillId="0" borderId="100" xfId="4" applyNumberFormat="1" applyFont="1" applyFill="1" applyBorder="1" applyAlignment="1">
      <alignment horizontal="right" vertical="center"/>
    </xf>
    <xf numFmtId="3" fontId="119" fillId="8" borderId="4" xfId="4" applyNumberFormat="1" applyFont="1" applyFill="1" applyBorder="1" applyAlignment="1">
      <alignment horizontal="right" vertical="center"/>
    </xf>
    <xf numFmtId="3" fontId="119" fillId="8" borderId="3" xfId="4" applyNumberFormat="1" applyFont="1" applyFill="1" applyBorder="1" applyAlignment="1">
      <alignment horizontal="right" vertical="center"/>
    </xf>
    <xf numFmtId="3" fontId="119" fillId="8" borderId="15" xfId="4" applyNumberFormat="1" applyFont="1" applyFill="1" applyBorder="1" applyAlignment="1">
      <alignment horizontal="right" vertical="center"/>
    </xf>
    <xf numFmtId="3" fontId="116" fillId="8" borderId="15" xfId="4" applyNumberFormat="1" applyFont="1" applyFill="1" applyBorder="1" applyAlignment="1">
      <alignment horizontal="right" vertical="center"/>
    </xf>
    <xf numFmtId="3" fontId="116" fillId="8" borderId="2" xfId="4" applyNumberFormat="1" applyFont="1" applyFill="1" applyBorder="1" applyAlignment="1">
      <alignment horizontal="right" vertical="center"/>
    </xf>
    <xf numFmtId="3" fontId="121" fillId="2" borderId="34" xfId="4" applyNumberFormat="1" applyFont="1" applyFill="1" applyBorder="1" applyAlignment="1">
      <alignment vertical="top" wrapText="1"/>
    </xf>
    <xf numFmtId="0" fontId="117" fillId="0" borderId="34" xfId="4" applyFont="1" applyFill="1" applyBorder="1" applyAlignment="1">
      <alignment vertical="top"/>
    </xf>
    <xf numFmtId="0" fontId="119" fillId="2" borderId="21" xfId="4" applyFont="1" applyFill="1" applyBorder="1" applyAlignment="1">
      <alignment vertical="top"/>
    </xf>
    <xf numFmtId="0" fontId="117" fillId="0" borderId="77" xfId="4" applyFont="1" applyFill="1" applyBorder="1" applyAlignment="1">
      <alignment vertical="top"/>
    </xf>
    <xf numFmtId="3" fontId="117" fillId="2" borderId="74" xfId="4" applyNumberFormat="1" applyFont="1" applyFill="1" applyBorder="1" applyAlignment="1"/>
    <xf numFmtId="43" fontId="121" fillId="0" borderId="27" xfId="1" applyFont="1" applyFill="1" applyBorder="1" applyAlignment="1">
      <alignment horizontal="right" vertical="center"/>
    </xf>
    <xf numFmtId="43" fontId="117" fillId="0" borderId="30" xfId="1" applyFont="1" applyFill="1" applyBorder="1" applyAlignment="1">
      <alignment horizontal="right" vertical="center"/>
    </xf>
    <xf numFmtId="43" fontId="119" fillId="0" borderId="30" xfId="1" applyFont="1" applyFill="1" applyBorder="1" applyAlignment="1">
      <alignment horizontal="right" vertical="center"/>
    </xf>
    <xf numFmtId="43" fontId="119" fillId="2" borderId="47" xfId="1" applyFont="1" applyFill="1" applyBorder="1" applyAlignment="1"/>
    <xf numFmtId="43" fontId="117" fillId="0" borderId="29" xfId="1" applyFont="1" applyFill="1" applyBorder="1" applyAlignment="1"/>
    <xf numFmtId="3" fontId="117" fillId="0" borderId="71" xfId="0" applyNumberFormat="1" applyFont="1" applyFill="1" applyBorder="1" applyAlignment="1">
      <alignment horizontal="right" vertical="center"/>
    </xf>
    <xf numFmtId="0" fontId="116" fillId="8" borderId="19" xfId="0" applyFont="1" applyFill="1" applyBorder="1" applyAlignment="1">
      <alignment horizontal="left" vertical="center" wrapText="1"/>
    </xf>
    <xf numFmtId="3" fontId="121" fillId="2" borderId="30" xfId="4" applyNumberFormat="1" applyFont="1" applyFill="1" applyBorder="1" applyAlignment="1"/>
    <xf numFmtId="3" fontId="121" fillId="2" borderId="71" xfId="4" applyNumberFormat="1" applyFont="1" applyFill="1" applyBorder="1" applyAlignment="1"/>
    <xf numFmtId="0" fontId="151" fillId="6" borderId="32" xfId="4" applyFont="1" applyFill="1" applyBorder="1" applyAlignment="1">
      <alignment horizontal="left" vertical="center"/>
    </xf>
    <xf numFmtId="3" fontId="160" fillId="2" borderId="32" xfId="4" applyNumberFormat="1" applyFont="1" applyFill="1" applyBorder="1" applyAlignment="1">
      <alignment vertical="top" wrapText="1"/>
    </xf>
    <xf numFmtId="0" fontId="122" fillId="0" borderId="32" xfId="4" applyFont="1" applyFill="1" applyBorder="1" applyAlignment="1">
      <alignment horizontal="left" vertical="center"/>
    </xf>
    <xf numFmtId="0" fontId="122" fillId="0" borderId="21" xfId="4" applyFont="1" applyFill="1" applyBorder="1" applyAlignment="1">
      <alignment horizontal="left" vertical="center"/>
    </xf>
    <xf numFmtId="3" fontId="122" fillId="2" borderId="106" xfId="4" applyNumberFormat="1" applyFont="1" applyFill="1" applyBorder="1" applyAlignment="1">
      <alignment vertical="top" wrapText="1"/>
    </xf>
    <xf numFmtId="3" fontId="149" fillId="6" borderId="29" xfId="6" applyNumberFormat="1" applyFont="1" applyFill="1" applyBorder="1" applyAlignment="1">
      <alignment horizontal="right" vertical="center"/>
    </xf>
    <xf numFmtId="3" fontId="150" fillId="0" borderId="29" xfId="6" applyNumberFormat="1" applyFont="1" applyFill="1" applyBorder="1" applyAlignment="1">
      <alignment horizontal="right" vertical="center"/>
    </xf>
    <xf numFmtId="3" fontId="117" fillId="0" borderId="72" xfId="4" applyNumberFormat="1" applyFont="1" applyFill="1" applyBorder="1" applyAlignment="1">
      <alignment horizontal="right" vertical="center"/>
    </xf>
    <xf numFmtId="0" fontId="153" fillId="8" borderId="45" xfId="4" applyFont="1" applyFill="1" applyBorder="1" applyAlignment="1">
      <alignment vertical="center" wrapText="1"/>
    </xf>
    <xf numFmtId="0" fontId="153" fillId="6" borderId="32" xfId="4" applyFont="1" applyFill="1" applyBorder="1" applyAlignment="1">
      <alignment horizontal="left" vertical="center"/>
    </xf>
    <xf numFmtId="3" fontId="158" fillId="2" borderId="32" xfId="4" applyNumberFormat="1" applyFont="1" applyFill="1" applyBorder="1" applyAlignment="1">
      <alignment vertical="top" wrapText="1"/>
    </xf>
    <xf numFmtId="0" fontId="113" fillId="0" borderId="77" xfId="4" applyFont="1" applyFill="1" applyBorder="1" applyAlignment="1">
      <alignment vertical="top"/>
    </xf>
    <xf numFmtId="3" fontId="119" fillId="0" borderId="47" xfId="0" applyNumberFormat="1" applyFont="1" applyFill="1" applyBorder="1" applyAlignment="1">
      <alignment horizontal="right" vertical="center"/>
    </xf>
    <xf numFmtId="3" fontId="59" fillId="0" borderId="103" xfId="0" applyNumberFormat="1" applyFont="1" applyFill="1" applyBorder="1" applyAlignment="1">
      <alignment vertical="center"/>
    </xf>
    <xf numFmtId="3" fontId="62" fillId="0" borderId="102" xfId="0" applyNumberFormat="1" applyFont="1" applyFill="1" applyBorder="1" applyAlignment="1">
      <alignment vertical="center"/>
    </xf>
    <xf numFmtId="0" fontId="152" fillId="0" borderId="0" xfId="0" applyFont="1" applyBorder="1"/>
    <xf numFmtId="3" fontId="152" fillId="0" borderId="0" xfId="0" applyNumberFormat="1" applyFont="1" applyBorder="1"/>
    <xf numFmtId="0" fontId="162" fillId="2" borderId="43" xfId="0" applyFont="1" applyFill="1" applyBorder="1" applyAlignment="1">
      <alignment horizontal="center" vertical="center" wrapText="1"/>
    </xf>
    <xf numFmtId="3" fontId="56" fillId="6" borderId="35" xfId="0" applyNumberFormat="1" applyFont="1" applyFill="1" applyBorder="1" applyAlignment="1">
      <alignment vertical="center"/>
    </xf>
    <xf numFmtId="3" fontId="163" fillId="0" borderId="98" xfId="0" applyNumberFormat="1" applyFont="1" applyFill="1" applyBorder="1" applyAlignment="1">
      <alignment vertical="center"/>
    </xf>
    <xf numFmtId="3" fontId="62" fillId="8" borderId="18" xfId="0" applyNumberFormat="1" applyFont="1" applyFill="1" applyBorder="1" applyAlignment="1">
      <alignment vertical="top"/>
    </xf>
    <xf numFmtId="0" fontId="62" fillId="8" borderId="18" xfId="0" applyFont="1" applyFill="1" applyBorder="1" applyAlignment="1">
      <alignment vertical="top"/>
    </xf>
    <xf numFmtId="0" fontId="62" fillId="59" borderId="18" xfId="0" applyFont="1" applyFill="1" applyBorder="1" applyAlignment="1">
      <alignment vertical="top"/>
    </xf>
    <xf numFmtId="3" fontId="62" fillId="59" borderId="18" xfId="0" applyNumberFormat="1" applyFont="1" applyFill="1" applyBorder="1" applyAlignment="1">
      <alignment vertical="top"/>
    </xf>
    <xf numFmtId="3" fontId="62" fillId="61" borderId="18" xfId="0" applyNumberFormat="1" applyFont="1" applyFill="1" applyBorder="1" applyAlignment="1">
      <alignment vertical="top"/>
    </xf>
    <xf numFmtId="0" fontId="62" fillId="61" borderId="18" xfId="0" applyFont="1" applyFill="1" applyBorder="1" applyAlignment="1">
      <alignment vertical="top"/>
    </xf>
    <xf numFmtId="0" fontId="62" fillId="8" borderId="17" xfId="0" applyFont="1" applyFill="1" applyBorder="1" applyAlignment="1">
      <alignment vertical="top"/>
    </xf>
    <xf numFmtId="3" fontId="62" fillId="8" borderId="79" xfId="0" applyNumberFormat="1" applyFont="1" applyFill="1" applyBorder="1" applyAlignment="1">
      <alignment vertical="top"/>
    </xf>
    <xf numFmtId="3" fontId="35" fillId="8" borderId="18" xfId="0" applyNumberFormat="1" applyFont="1" applyFill="1" applyBorder="1" applyAlignment="1">
      <alignment vertical="top"/>
    </xf>
    <xf numFmtId="0" fontId="35" fillId="59" borderId="18" xfId="0" applyFont="1" applyFill="1" applyBorder="1" applyAlignment="1">
      <alignment vertical="top"/>
    </xf>
    <xf numFmtId="3" fontId="35" fillId="59" borderId="18" xfId="0" applyNumberFormat="1" applyFont="1" applyFill="1" applyBorder="1" applyAlignment="1">
      <alignment vertical="top"/>
    </xf>
    <xf numFmtId="3" fontId="35" fillId="61" borderId="18" xfId="0" applyNumberFormat="1" applyFont="1" applyFill="1" applyBorder="1" applyAlignment="1">
      <alignment vertical="top"/>
    </xf>
    <xf numFmtId="0" fontId="35" fillId="61" borderId="18" xfId="0" applyFont="1" applyFill="1" applyBorder="1" applyAlignment="1">
      <alignment vertical="top"/>
    </xf>
    <xf numFmtId="0" fontId="119" fillId="8" borderId="18" xfId="0" applyFont="1" applyFill="1" applyBorder="1" applyAlignment="1">
      <alignment vertical="top"/>
    </xf>
    <xf numFmtId="0" fontId="119" fillId="59" borderId="18" xfId="0" applyFont="1" applyFill="1" applyBorder="1" applyAlignment="1">
      <alignment vertical="top"/>
    </xf>
    <xf numFmtId="3" fontId="119" fillId="59" borderId="18" xfId="0" applyNumberFormat="1" applyFont="1" applyFill="1" applyBorder="1" applyAlignment="1">
      <alignment vertical="top"/>
    </xf>
    <xf numFmtId="3" fontId="119" fillId="61" borderId="18" xfId="0" applyNumberFormat="1" applyFont="1" applyFill="1" applyBorder="1" applyAlignment="1">
      <alignment vertical="top"/>
    </xf>
    <xf numFmtId="0" fontId="119" fillId="61" borderId="18" xfId="0" applyFont="1" applyFill="1" applyBorder="1" applyAlignment="1">
      <alignment vertical="top"/>
    </xf>
    <xf numFmtId="0" fontId="119" fillId="8" borderId="17" xfId="0" applyFont="1" applyFill="1" applyBorder="1" applyAlignment="1">
      <alignment vertical="top"/>
    </xf>
    <xf numFmtId="3" fontId="35" fillId="8" borderId="17" xfId="0" applyNumberFormat="1" applyFont="1" applyFill="1" applyBorder="1" applyAlignment="1">
      <alignment vertical="top"/>
    </xf>
    <xf numFmtId="0" fontId="65" fillId="2" borderId="24" xfId="0" applyFont="1" applyFill="1" applyBorder="1" applyAlignment="1">
      <alignment vertical="top"/>
    </xf>
    <xf numFmtId="0" fontId="65" fillId="0" borderId="24" xfId="0" applyFont="1" applyFill="1" applyBorder="1" applyAlignment="1">
      <alignment vertical="top"/>
    </xf>
    <xf numFmtId="0" fontId="161" fillId="6" borderId="28" xfId="4" applyFont="1" applyFill="1" applyBorder="1" applyAlignment="1">
      <alignment horizontal="left" vertical="center"/>
    </xf>
    <xf numFmtId="0" fontId="56" fillId="8" borderId="21" xfId="0" applyFont="1" applyFill="1" applyBorder="1" applyAlignment="1">
      <alignment vertical="center" wrapText="1"/>
    </xf>
    <xf numFmtId="0" fontId="36" fillId="0" borderId="21" xfId="4" applyFont="1" applyFill="1" applyBorder="1" applyAlignment="1">
      <alignment vertical="center" wrapText="1"/>
    </xf>
    <xf numFmtId="0" fontId="162" fillId="0" borderId="26" xfId="0" applyFont="1" applyFill="1" applyBorder="1" applyAlignment="1">
      <alignment horizontal="center" vertical="center"/>
    </xf>
    <xf numFmtId="3" fontId="163" fillId="0" borderId="13" xfId="0" applyNumberFormat="1" applyFont="1" applyFill="1" applyBorder="1" applyAlignment="1">
      <alignment horizontal="right" vertical="center"/>
    </xf>
    <xf numFmtId="3" fontId="163" fillId="59" borderId="13" xfId="0" applyNumberFormat="1" applyFont="1" applyFill="1" applyBorder="1" applyAlignment="1">
      <alignment horizontal="right" vertical="center"/>
    </xf>
    <xf numFmtId="3" fontId="163" fillId="61" borderId="13" xfId="0" applyNumberFormat="1" applyFont="1" applyFill="1" applyBorder="1" applyAlignment="1">
      <alignment horizontal="right" vertical="center"/>
    </xf>
    <xf numFmtId="3" fontId="163" fillId="23" borderId="98" xfId="0" applyNumberFormat="1" applyFont="1" applyFill="1" applyBorder="1" applyAlignment="1">
      <alignment horizontal="right" vertical="center"/>
    </xf>
    <xf numFmtId="3" fontId="35" fillId="60" borderId="9" xfId="0" applyNumberFormat="1" applyFont="1" applyFill="1" applyBorder="1" applyAlignment="1">
      <alignment vertical="center"/>
    </xf>
    <xf numFmtId="3" fontId="35" fillId="62" borderId="9" xfId="0" applyNumberFormat="1" applyFont="1" applyFill="1" applyBorder="1" applyAlignment="1">
      <alignment vertical="center"/>
    </xf>
    <xf numFmtId="3" fontId="35" fillId="24" borderId="111" xfId="0" applyNumberFormat="1" applyFont="1" applyFill="1" applyBorder="1" applyAlignment="1">
      <alignment vertical="center"/>
    </xf>
    <xf numFmtId="0" fontId="0" fillId="0" borderId="35" xfId="0" applyFont="1" applyBorder="1"/>
    <xf numFmtId="0" fontId="0" fillId="0" borderId="112" xfId="0" applyFont="1" applyBorder="1"/>
    <xf numFmtId="0" fontId="0" fillId="0" borderId="111" xfId="0" applyFont="1" applyBorder="1"/>
    <xf numFmtId="3" fontId="0" fillId="0" borderId="111" xfId="0" applyNumberFormat="1" applyFont="1" applyBorder="1"/>
    <xf numFmtId="3" fontId="55" fillId="23" borderId="111" xfId="4" applyNumberFormat="1" applyFont="1" applyFill="1" applyBorder="1" applyAlignment="1">
      <alignment horizontal="right" vertical="center"/>
    </xf>
    <xf numFmtId="0" fontId="80" fillId="0" borderId="111" xfId="0" applyFont="1" applyBorder="1"/>
    <xf numFmtId="3" fontId="35" fillId="24" borderId="111" xfId="4" applyNumberFormat="1" applyFont="1" applyFill="1" applyBorder="1" applyAlignment="1">
      <alignment horizontal="right" vertical="center"/>
    </xf>
    <xf numFmtId="3" fontId="35" fillId="8" borderId="111" xfId="4" applyNumberFormat="1" applyFont="1" applyFill="1" applyBorder="1" applyAlignment="1">
      <alignment horizontal="right" vertical="center"/>
    </xf>
    <xf numFmtId="3" fontId="56" fillId="23" borderId="111" xfId="4" applyNumberFormat="1" applyFont="1" applyFill="1" applyBorder="1" applyAlignment="1">
      <alignment horizontal="right" vertical="center"/>
    </xf>
    <xf numFmtId="3" fontId="64" fillId="0" borderId="111" xfId="6" applyNumberFormat="1" applyFont="1" applyFill="1" applyBorder="1" applyAlignment="1">
      <alignment vertical="center"/>
    </xf>
    <xf numFmtId="3" fontId="58" fillId="0" borderId="111" xfId="4" applyNumberFormat="1" applyFont="1" applyFill="1" applyBorder="1" applyAlignment="1">
      <alignment horizontal="right" vertical="center"/>
    </xf>
    <xf numFmtId="0" fontId="35" fillId="0" borderId="111" xfId="4" applyFont="1" applyFill="1" applyBorder="1" applyAlignment="1">
      <alignment vertical="top"/>
    </xf>
    <xf numFmtId="3" fontId="63" fillId="0" borderId="111" xfId="6" applyNumberFormat="1" applyFont="1" applyFill="1" applyBorder="1" applyAlignment="1">
      <alignment vertical="center"/>
    </xf>
    <xf numFmtId="3" fontId="35" fillId="0" borderId="111" xfId="4" applyNumberFormat="1" applyFont="1" applyFill="1" applyBorder="1" applyAlignment="1">
      <alignment horizontal="right" vertical="center"/>
    </xf>
    <xf numFmtId="3" fontId="56" fillId="6" borderId="111" xfId="4" applyNumberFormat="1" applyFont="1" applyFill="1" applyBorder="1" applyAlignment="1">
      <alignment horizontal="right" vertical="center"/>
    </xf>
    <xf numFmtId="3" fontId="62" fillId="0" borderId="111" xfId="4" applyNumberFormat="1" applyFont="1" applyFill="1" applyBorder="1" applyAlignment="1">
      <alignment horizontal="right" vertical="center"/>
    </xf>
    <xf numFmtId="3" fontId="58" fillId="26" borderId="111" xfId="4" applyNumberFormat="1" applyFont="1" applyFill="1" applyBorder="1" applyAlignment="1">
      <alignment horizontal="right" vertical="center"/>
    </xf>
    <xf numFmtId="0" fontId="0" fillId="0" borderId="111" xfId="0" applyFont="1" applyFill="1" applyBorder="1"/>
    <xf numFmtId="0" fontId="0" fillId="0" borderId="111" xfId="0" applyFont="1" applyBorder="1" applyAlignment="1">
      <alignment vertical="center"/>
    </xf>
    <xf numFmtId="0" fontId="0" fillId="0" borderId="112" xfId="0" applyFont="1" applyBorder="1" applyAlignment="1">
      <alignment horizontal="center" vertical="center"/>
    </xf>
    <xf numFmtId="0" fontId="49" fillId="0" borderId="111" xfId="4" applyFont="1" applyFill="1" applyBorder="1" applyAlignment="1">
      <alignment vertical="center"/>
    </xf>
    <xf numFmtId="0" fontId="0" fillId="0" borderId="111" xfId="0" applyFont="1" applyBorder="1" applyAlignment="1">
      <alignment wrapText="1"/>
    </xf>
    <xf numFmtId="3" fontId="53" fillId="0" borderId="111" xfId="6" applyNumberFormat="1" applyFont="1" applyFill="1" applyBorder="1" applyAlignment="1">
      <alignment vertical="center"/>
    </xf>
    <xf numFmtId="43" fontId="49" fillId="0" borderId="111" xfId="1" applyFont="1" applyFill="1" applyBorder="1" applyAlignment="1">
      <alignment horizontal="right" vertical="center"/>
    </xf>
    <xf numFmtId="3" fontId="49" fillId="0" borderId="111" xfId="4" applyNumberFormat="1" applyFont="1" applyFill="1" applyBorder="1" applyAlignment="1">
      <alignment horizontal="right" vertical="center"/>
    </xf>
    <xf numFmtId="0" fontId="69" fillId="0" borderId="111" xfId="0" applyFont="1" applyFill="1" applyBorder="1" applyAlignment="1">
      <alignment horizontal="center" vertical="center" wrapText="1"/>
    </xf>
    <xf numFmtId="0" fontId="69" fillId="0" borderId="112" xfId="0" applyFont="1" applyBorder="1" applyAlignment="1">
      <alignment vertical="center"/>
    </xf>
    <xf numFmtId="0" fontId="0" fillId="2" borderId="111" xfId="0" applyFont="1" applyFill="1" applyBorder="1"/>
    <xf numFmtId="3" fontId="0" fillId="2" borderId="111" xfId="0" applyNumberFormat="1" applyFont="1" applyFill="1" applyBorder="1"/>
    <xf numFmtId="0" fontId="0" fillId="14" borderId="111" xfId="0" applyFont="1" applyFill="1" applyBorder="1"/>
    <xf numFmtId="3" fontId="119" fillId="8" borderId="111" xfId="4" applyNumberFormat="1" applyFont="1" applyFill="1" applyBorder="1" applyAlignment="1">
      <alignment horizontal="right" vertical="center"/>
    </xf>
    <xf numFmtId="3" fontId="120" fillId="6" borderId="111" xfId="4" applyNumberFormat="1" applyFont="1" applyFill="1" applyBorder="1" applyAlignment="1">
      <alignment horizontal="right" vertical="center"/>
    </xf>
    <xf numFmtId="3" fontId="121" fillId="0" borderId="111" xfId="4" applyNumberFormat="1" applyFont="1" applyFill="1" applyBorder="1" applyAlignment="1">
      <alignment horizontal="right" vertical="center"/>
    </xf>
    <xf numFmtId="3" fontId="119" fillId="0" borderId="111" xfId="4" applyNumberFormat="1" applyFont="1" applyFill="1" applyBorder="1" applyAlignment="1">
      <alignment horizontal="right" vertical="center"/>
    </xf>
    <xf numFmtId="3" fontId="117" fillId="0" borderId="111" xfId="4" applyNumberFormat="1" applyFont="1" applyFill="1" applyBorder="1" applyAlignment="1">
      <alignment horizontal="right" vertical="center"/>
    </xf>
    <xf numFmtId="0" fontId="153" fillId="8" borderId="45" xfId="0" applyFont="1" applyFill="1" applyBorder="1" applyAlignment="1">
      <alignment horizontal="left" vertical="center" wrapText="1"/>
    </xf>
    <xf numFmtId="0" fontId="153" fillId="8" borderId="14" xfId="4" applyFont="1" applyFill="1" applyBorder="1" applyAlignment="1">
      <alignment horizontal="center" vertical="top" wrapText="1"/>
    </xf>
    <xf numFmtId="3" fontId="116" fillId="8" borderId="4" xfId="0" applyNumberFormat="1" applyFont="1" applyFill="1" applyBorder="1" applyAlignment="1">
      <alignment vertical="center"/>
    </xf>
    <xf numFmtId="3" fontId="116" fillId="8" borderId="70" xfId="0" applyNumberFormat="1" applyFont="1" applyFill="1" applyBorder="1" applyAlignment="1">
      <alignment vertical="center"/>
    </xf>
    <xf numFmtId="3" fontId="116" fillId="8" borderId="17" xfId="0" applyNumberFormat="1" applyFont="1" applyFill="1" applyBorder="1" applyAlignment="1">
      <alignment vertical="center"/>
    </xf>
    <xf numFmtId="3" fontId="116" fillId="8" borderId="2" xfId="0" applyNumberFormat="1" applyFont="1" applyFill="1" applyBorder="1" applyAlignment="1">
      <alignment vertical="center"/>
    </xf>
    <xf numFmtId="3" fontId="116" fillId="24" borderId="2" xfId="4" applyNumberFormat="1" applyFont="1" applyFill="1" applyBorder="1" applyAlignment="1">
      <alignment horizontal="right" vertical="center"/>
    </xf>
    <xf numFmtId="0" fontId="151" fillId="6" borderId="28" xfId="4" applyFont="1" applyFill="1" applyBorder="1" applyAlignment="1">
      <alignment horizontal="left" vertical="center"/>
    </xf>
    <xf numFmtId="3" fontId="116" fillId="6" borderId="29" xfId="0" applyNumberFormat="1" applyFont="1" applyFill="1" applyBorder="1" applyAlignment="1">
      <alignment horizontal="right" vertical="center"/>
    </xf>
    <xf numFmtId="3" fontId="116" fillId="23" borderId="30" xfId="4" applyNumberFormat="1" applyFont="1" applyFill="1" applyBorder="1" applyAlignment="1">
      <alignment horizontal="right" vertical="center"/>
    </xf>
    <xf numFmtId="3" fontId="121" fillId="0" borderId="27" xfId="0" applyNumberFormat="1" applyFont="1" applyFill="1" applyBorder="1" applyAlignment="1">
      <alignment horizontal="right" vertical="center"/>
    </xf>
    <xf numFmtId="3" fontId="121" fillId="0" borderId="30" xfId="0" applyNumberFormat="1" applyFont="1" applyFill="1" applyBorder="1" applyAlignment="1">
      <alignment horizontal="right" vertical="center"/>
    </xf>
    <xf numFmtId="3" fontId="159" fillId="0" borderId="29" xfId="0" applyNumberFormat="1" applyFont="1" applyFill="1" applyBorder="1" applyAlignment="1">
      <alignment horizontal="right" vertical="center"/>
    </xf>
    <xf numFmtId="3" fontId="159" fillId="26" borderId="29" xfId="4" applyNumberFormat="1" applyFont="1" applyFill="1" applyBorder="1" applyAlignment="1">
      <alignment horizontal="right" vertical="center"/>
    </xf>
    <xf numFmtId="0" fontId="113" fillId="0" borderId="25" xfId="0" applyFont="1" applyFill="1" applyBorder="1" applyAlignment="1">
      <alignment horizontal="left" vertical="center"/>
    </xf>
    <xf numFmtId="3" fontId="117" fillId="0" borderId="72" xfId="0" applyNumberFormat="1" applyFont="1" applyFill="1" applyBorder="1" applyAlignment="1">
      <alignment horizontal="right" vertical="center"/>
    </xf>
    <xf numFmtId="3" fontId="119" fillId="0" borderId="72" xfId="0" applyNumberFormat="1" applyFont="1" applyFill="1" applyBorder="1" applyAlignment="1">
      <alignment horizontal="right" vertical="center"/>
    </xf>
    <xf numFmtId="3" fontId="119" fillId="0" borderId="65" xfId="0" applyNumberFormat="1" applyFont="1" applyFill="1" applyBorder="1" applyAlignment="1">
      <alignment horizontal="right" vertical="center"/>
    </xf>
    <xf numFmtId="0" fontId="153" fillId="0" borderId="26" xfId="0" applyFont="1" applyFill="1" applyBorder="1" applyAlignment="1">
      <alignment horizontal="center" vertical="center"/>
    </xf>
    <xf numFmtId="0" fontId="120" fillId="8" borderId="32" xfId="0" applyFont="1" applyFill="1" applyBorder="1" applyAlignment="1">
      <alignment vertical="center" wrapText="1"/>
    </xf>
    <xf numFmtId="0" fontId="153" fillId="2" borderId="43" xfId="0" applyFont="1" applyFill="1" applyBorder="1" applyAlignment="1">
      <alignment horizontal="center" vertical="center" wrapText="1"/>
    </xf>
    <xf numFmtId="3" fontId="129" fillId="0" borderId="0" xfId="0" applyNumberFormat="1" applyFont="1" applyBorder="1"/>
    <xf numFmtId="0" fontId="129" fillId="0" borderId="0" xfId="0" applyFont="1" applyBorder="1"/>
    <xf numFmtId="3" fontId="120" fillId="6" borderId="35" xfId="0" applyNumberFormat="1" applyFont="1" applyFill="1" applyBorder="1" applyAlignment="1">
      <alignment vertical="center"/>
    </xf>
    <xf numFmtId="3" fontId="120" fillId="6" borderId="9" xfId="0" applyNumberFormat="1" applyFont="1" applyFill="1" applyBorder="1" applyAlignment="1">
      <alignment vertical="center"/>
    </xf>
    <xf numFmtId="3" fontId="121" fillId="0" borderId="98" xfId="0" applyNumberFormat="1" applyFont="1" applyFill="1" applyBorder="1" applyAlignment="1">
      <alignment vertical="center"/>
    </xf>
    <xf numFmtId="3" fontId="121" fillId="0" borderId="98" xfId="0" applyNumberFormat="1" applyFont="1" applyFill="1" applyBorder="1" applyAlignment="1">
      <alignment horizontal="right" vertical="center"/>
    </xf>
    <xf numFmtId="3" fontId="121" fillId="59" borderId="98" xfId="0" applyNumberFormat="1" applyFont="1" applyFill="1" applyBorder="1" applyAlignment="1">
      <alignment horizontal="right" vertical="center"/>
    </xf>
    <xf numFmtId="3" fontId="121" fillId="61" borderId="98" xfId="0" applyNumberFormat="1" applyFont="1" applyFill="1" applyBorder="1" applyAlignment="1">
      <alignment horizontal="right" vertical="center"/>
    </xf>
    <xf numFmtId="0" fontId="135" fillId="0" borderId="21" xfId="4" applyFont="1" applyFill="1" applyBorder="1" applyAlignment="1">
      <alignment vertical="center" wrapText="1"/>
    </xf>
    <xf numFmtId="3" fontId="164" fillId="0" borderId="98" xfId="0" applyNumberFormat="1" applyFont="1" applyFill="1" applyBorder="1" applyAlignment="1">
      <alignment vertical="center"/>
    </xf>
    <xf numFmtId="3" fontId="164" fillId="0" borderId="98" xfId="0" applyNumberFormat="1" applyFont="1" applyFill="1" applyBorder="1" applyAlignment="1">
      <alignment horizontal="right" vertical="center"/>
    </xf>
    <xf numFmtId="3" fontId="164" fillId="59" borderId="98" xfId="0" applyNumberFormat="1" applyFont="1" applyFill="1" applyBorder="1" applyAlignment="1">
      <alignment horizontal="right" vertical="center"/>
    </xf>
    <xf numFmtId="3" fontId="164" fillId="61" borderId="98" xfId="0" applyNumberFormat="1" applyFont="1" applyFill="1" applyBorder="1" applyAlignment="1">
      <alignment horizontal="right" vertical="center"/>
    </xf>
    <xf numFmtId="3" fontId="164" fillId="0" borderId="98" xfId="0" applyNumberFormat="1" applyFont="1" applyFill="1" applyBorder="1" applyAlignment="1">
      <alignment vertical="top"/>
    </xf>
    <xf numFmtId="3" fontId="164" fillId="23" borderId="98" xfId="0" applyNumberFormat="1" applyFont="1" applyFill="1" applyBorder="1" applyAlignment="1">
      <alignment horizontal="right" vertical="center"/>
    </xf>
    <xf numFmtId="0" fontId="119" fillId="0" borderId="32" xfId="4" applyFont="1" applyFill="1" applyBorder="1" applyAlignment="1">
      <alignment vertical="top"/>
    </xf>
    <xf numFmtId="0" fontId="120" fillId="8" borderId="21" xfId="0" applyFont="1" applyFill="1" applyBorder="1" applyAlignment="1">
      <alignment vertical="center" wrapText="1"/>
    </xf>
    <xf numFmtId="0" fontId="120" fillId="8" borderId="85" xfId="0" applyFont="1" applyFill="1" applyBorder="1" applyAlignment="1">
      <alignment horizontal="center" vertical="center" wrapText="1"/>
    </xf>
    <xf numFmtId="3" fontId="120" fillId="23" borderId="35" xfId="0" applyNumberFormat="1" applyFont="1" applyFill="1" applyBorder="1" applyAlignment="1">
      <alignment horizontal="right" vertical="center"/>
    </xf>
    <xf numFmtId="3" fontId="121" fillId="2" borderId="21" xfId="4" applyNumberFormat="1" applyFont="1" applyFill="1" applyBorder="1" applyAlignment="1">
      <alignment vertical="center" wrapText="1"/>
    </xf>
    <xf numFmtId="0" fontId="135" fillId="0" borderId="21" xfId="0" applyFont="1" applyBorder="1" applyAlignment="1">
      <alignment vertical="center" wrapText="1"/>
    </xf>
    <xf numFmtId="3" fontId="164" fillId="0" borderId="100" xfId="0" applyNumberFormat="1" applyFont="1" applyFill="1" applyBorder="1" applyAlignment="1">
      <alignment vertical="top"/>
    </xf>
    <xf numFmtId="3" fontId="120" fillId="6" borderId="100" xfId="0" applyNumberFormat="1" applyFont="1" applyFill="1" applyBorder="1" applyAlignment="1">
      <alignment vertical="center"/>
    </xf>
    <xf numFmtId="0" fontId="128" fillId="6" borderId="84" xfId="4" applyFont="1" applyFill="1" applyBorder="1" applyAlignment="1">
      <alignment horizontal="left" vertical="center"/>
    </xf>
    <xf numFmtId="3" fontId="120" fillId="6" borderId="98" xfId="0" applyNumberFormat="1" applyFont="1" applyFill="1" applyBorder="1" applyAlignment="1">
      <alignment vertical="center"/>
    </xf>
    <xf numFmtId="0" fontId="135" fillId="0" borderId="32" xfId="0" applyFont="1" applyFill="1" applyBorder="1" applyAlignment="1">
      <alignment vertical="center" wrapText="1"/>
    </xf>
    <xf numFmtId="0" fontId="120" fillId="8" borderId="88" xfId="0" applyFont="1" applyFill="1" applyBorder="1" applyAlignment="1">
      <alignment horizontal="center" vertical="center" wrapText="1"/>
    </xf>
    <xf numFmtId="3" fontId="117" fillId="8" borderId="79" xfId="0" applyNumberFormat="1" applyFont="1" applyFill="1" applyBorder="1" applyAlignment="1">
      <alignment vertical="top"/>
    </xf>
    <xf numFmtId="0" fontId="117" fillId="8" borderId="18" xfId="0" applyFont="1" applyFill="1" applyBorder="1" applyAlignment="1">
      <alignment vertical="top"/>
    </xf>
    <xf numFmtId="0" fontId="117" fillId="59" borderId="18" xfId="0" applyFont="1" applyFill="1" applyBorder="1" applyAlignment="1">
      <alignment vertical="top"/>
    </xf>
    <xf numFmtId="3" fontId="117" fillId="59" borderId="18" xfId="0" applyNumberFormat="1" applyFont="1" applyFill="1" applyBorder="1" applyAlignment="1">
      <alignment vertical="top"/>
    </xf>
    <xf numFmtId="3" fontId="117" fillId="61" borderId="18" xfId="0" applyNumberFormat="1" applyFont="1" applyFill="1" applyBorder="1" applyAlignment="1">
      <alignment vertical="top"/>
    </xf>
    <xf numFmtId="0" fontId="117" fillId="61" borderId="18" xfId="0" applyFont="1" applyFill="1" applyBorder="1" applyAlignment="1">
      <alignment vertical="top"/>
    </xf>
    <xf numFmtId="3" fontId="117" fillId="8" borderId="18" xfId="0" applyNumberFormat="1" applyFont="1" applyFill="1" applyBorder="1" applyAlignment="1">
      <alignment vertical="top"/>
    </xf>
    <xf numFmtId="0" fontId="117" fillId="8" borderId="17" xfId="0" applyFont="1" applyFill="1" applyBorder="1" applyAlignment="1">
      <alignment vertical="top"/>
    </xf>
    <xf numFmtId="0" fontId="119" fillId="24" borderId="70" xfId="0" applyFont="1" applyFill="1" applyBorder="1" applyAlignment="1">
      <alignment vertical="top"/>
    </xf>
    <xf numFmtId="0" fontId="128" fillId="6" borderId="20" xfId="4" applyFont="1" applyFill="1" applyBorder="1" applyAlignment="1">
      <alignment horizontal="left" vertical="center"/>
    </xf>
    <xf numFmtId="3" fontId="164" fillId="0" borderId="109" xfId="0" applyNumberFormat="1" applyFont="1" applyFill="1" applyBorder="1" applyAlignment="1">
      <alignment vertical="center"/>
    </xf>
    <xf numFmtId="3" fontId="164" fillId="23" borderId="35" xfId="0" applyNumberFormat="1" applyFont="1" applyFill="1" applyBorder="1" applyAlignment="1">
      <alignment vertical="center"/>
    </xf>
    <xf numFmtId="3" fontId="121" fillId="23" borderId="35" xfId="0" applyNumberFormat="1" applyFont="1" applyFill="1" applyBorder="1" applyAlignment="1">
      <alignment vertical="center"/>
    </xf>
    <xf numFmtId="3" fontId="121" fillId="23" borderId="98" xfId="0" applyNumberFormat="1" applyFont="1" applyFill="1" applyBorder="1" applyAlignment="1">
      <alignment horizontal="right" vertical="center"/>
    </xf>
    <xf numFmtId="0" fontId="121" fillId="57" borderId="101" xfId="4" applyFont="1" applyFill="1" applyBorder="1" applyAlignment="1">
      <alignment horizontal="left" vertical="center"/>
    </xf>
    <xf numFmtId="0" fontId="121" fillId="57" borderId="28" xfId="4" applyFont="1" applyFill="1" applyBorder="1" applyAlignment="1">
      <alignment horizontal="left" vertical="center"/>
    </xf>
    <xf numFmtId="3" fontId="121" fillId="57" borderId="100" xfId="4" applyNumberFormat="1" applyFont="1" applyFill="1" applyBorder="1" applyAlignment="1">
      <alignment horizontal="right" vertical="center"/>
    </xf>
    <xf numFmtId="3" fontId="121" fillId="59" borderId="100" xfId="4" applyNumberFormat="1" applyFont="1" applyFill="1" applyBorder="1" applyAlignment="1">
      <alignment horizontal="right" vertical="center"/>
    </xf>
    <xf numFmtId="3" fontId="121" fillId="61" borderId="100" xfId="4" applyNumberFormat="1" applyFont="1" applyFill="1" applyBorder="1" applyAlignment="1">
      <alignment horizontal="right" vertical="center"/>
    </xf>
    <xf numFmtId="3" fontId="113" fillId="8" borderId="43" xfId="4" applyNumberFormat="1" applyFont="1" applyFill="1" applyBorder="1" applyAlignment="1">
      <alignment vertical="top" wrapText="1"/>
    </xf>
    <xf numFmtId="3" fontId="121" fillId="22" borderId="103" xfId="4" applyNumberFormat="1" applyFont="1" applyFill="1" applyBorder="1" applyAlignment="1">
      <alignment horizontal="right" vertical="center"/>
    </xf>
    <xf numFmtId="0" fontId="121" fillId="57" borderId="67" xfId="0" applyFont="1" applyFill="1" applyBorder="1" applyAlignment="1">
      <alignment horizontal="left" vertical="top"/>
    </xf>
    <xf numFmtId="0" fontId="164" fillId="57" borderId="6" xfId="0" quotePrefix="1" applyFont="1" applyFill="1" applyBorder="1" applyAlignment="1">
      <alignment horizontal="center" vertical="top"/>
    </xf>
    <xf numFmtId="3" fontId="121" fillId="57" borderId="27" xfId="0" quotePrefix="1" applyNumberFormat="1" applyFont="1" applyFill="1" applyBorder="1" applyAlignment="1">
      <alignment horizontal="right" vertical="top"/>
    </xf>
    <xf numFmtId="3" fontId="121" fillId="22" borderId="13" xfId="4" applyNumberFormat="1" applyFont="1" applyFill="1" applyBorder="1" applyAlignment="1">
      <alignment horizontal="right" vertical="center"/>
    </xf>
    <xf numFmtId="0" fontId="0" fillId="0" borderId="0" xfId="0" applyFont="1" applyBorder="1"/>
    <xf numFmtId="0" fontId="56" fillId="0" borderId="0" xfId="0" applyFont="1" applyBorder="1" applyAlignment="1">
      <alignment vertical="top"/>
    </xf>
    <xf numFmtId="3" fontId="52" fillId="0" borderId="0" xfId="0" applyNumberFormat="1" applyFont="1" applyBorder="1" applyAlignment="1">
      <alignment vertical="top"/>
    </xf>
    <xf numFmtId="0" fontId="108" fillId="0" borderId="0" xfId="0" applyFont="1" applyFill="1" applyBorder="1" applyAlignment="1">
      <alignment vertical="top"/>
    </xf>
    <xf numFmtId="0" fontId="108" fillId="31" borderId="0" xfId="0" applyFont="1" applyFill="1" applyBorder="1" applyAlignment="1">
      <alignment vertical="top"/>
    </xf>
    <xf numFmtId="0" fontId="50" fillId="2" borderId="27" xfId="0" applyFont="1" applyFill="1" applyBorder="1" applyAlignment="1">
      <alignment vertical="center" wrapText="1"/>
    </xf>
    <xf numFmtId="0" fontId="50" fillId="2" borderId="0" xfId="0" applyFont="1" applyFill="1" applyBorder="1" applyAlignment="1">
      <alignment vertical="center" wrapText="1"/>
    </xf>
    <xf numFmtId="0" fontId="50" fillId="2" borderId="10" xfId="0" applyFont="1" applyFill="1" applyBorder="1" applyAlignment="1">
      <alignment vertical="center" wrapText="1"/>
    </xf>
    <xf numFmtId="0" fontId="52" fillId="0" borderId="11" xfId="0" applyFont="1" applyBorder="1" applyAlignment="1">
      <alignment horizontal="center" vertical="top"/>
    </xf>
    <xf numFmtId="0" fontId="52" fillId="0" borderId="27" xfId="0" applyFont="1" applyBorder="1" applyAlignment="1">
      <alignment horizontal="center" vertical="top"/>
    </xf>
    <xf numFmtId="0" fontId="52" fillId="0" borderId="13" xfId="0" applyFont="1" applyBorder="1" applyAlignment="1">
      <alignment horizontal="center" vertical="top"/>
    </xf>
    <xf numFmtId="0" fontId="52" fillId="2" borderId="13" xfId="0" quotePrefix="1" applyFont="1" applyFill="1" applyBorder="1" applyAlignment="1">
      <alignment horizontal="center" vertical="top"/>
    </xf>
    <xf numFmtId="0" fontId="52" fillId="27" borderId="10" xfId="0" quotePrefix="1" applyFont="1" applyFill="1" applyBorder="1" applyAlignment="1">
      <alignment horizontal="center" vertical="top"/>
    </xf>
    <xf numFmtId="0" fontId="35" fillId="8" borderId="11" xfId="4" applyFont="1" applyFill="1" applyBorder="1" applyAlignment="1">
      <alignment vertical="top"/>
    </xf>
    <xf numFmtId="3" fontId="56" fillId="23" borderId="13" xfId="4" applyNumberFormat="1" applyFont="1" applyFill="1" applyBorder="1" applyAlignment="1">
      <alignment horizontal="right" vertical="center"/>
    </xf>
    <xf numFmtId="3" fontId="16" fillId="0" borderId="0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31" borderId="0" xfId="0" applyFont="1" applyFill="1" applyBorder="1" applyAlignment="1">
      <alignment vertical="center"/>
    </xf>
    <xf numFmtId="0" fontId="35" fillId="8" borderId="27" xfId="4" applyFont="1" applyFill="1" applyBorder="1" applyAlignment="1">
      <alignment vertical="top"/>
    </xf>
    <xf numFmtId="3" fontId="35" fillId="8" borderId="13" xfId="4" applyNumberFormat="1" applyFont="1" applyFill="1" applyBorder="1" applyAlignment="1">
      <alignment vertical="top"/>
    </xf>
    <xf numFmtId="3" fontId="63" fillId="0" borderId="0" xfId="0" applyNumberFormat="1" applyFont="1" applyFill="1" applyBorder="1"/>
    <xf numFmtId="0" fontId="56" fillId="6" borderId="6" xfId="4" applyFont="1" applyFill="1" applyBorder="1" applyAlignment="1">
      <alignment horizontal="left" vertical="center"/>
    </xf>
    <xf numFmtId="3" fontId="56" fillId="6" borderId="13" xfId="4" applyNumberFormat="1" applyFont="1" applyFill="1" applyBorder="1" applyAlignment="1">
      <alignment vertical="center"/>
    </xf>
    <xf numFmtId="0" fontId="55" fillId="8" borderId="11" xfId="4" applyFont="1" applyFill="1" applyBorder="1" applyAlignment="1">
      <alignment horizontal="left" vertical="center" wrapText="1"/>
    </xf>
    <xf numFmtId="3" fontId="35" fillId="24" borderId="10" xfId="4" applyNumberFormat="1" applyFont="1" applyFill="1" applyBorder="1" applyAlignment="1">
      <alignment horizontal="right" vertical="center"/>
    </xf>
    <xf numFmtId="0" fontId="55" fillId="6" borderId="11" xfId="4" applyFont="1" applyFill="1" applyBorder="1" applyAlignment="1">
      <alignment horizontal="left" vertical="center"/>
    </xf>
    <xf numFmtId="0" fontId="60" fillId="0" borderId="11" xfId="4" applyFont="1" applyFill="1" applyBorder="1" applyAlignment="1">
      <alignment vertical="top"/>
    </xf>
    <xf numFmtId="0" fontId="35" fillId="0" borderId="11" xfId="4" applyFont="1" applyFill="1" applyBorder="1" applyAlignment="1">
      <alignment vertical="top"/>
    </xf>
    <xf numFmtId="3" fontId="35" fillId="0" borderId="13" xfId="0" applyNumberFormat="1" applyFont="1" applyFill="1" applyBorder="1" applyAlignment="1">
      <alignment vertical="top"/>
    </xf>
    <xf numFmtId="3" fontId="35" fillId="0" borderId="13" xfId="4" applyNumberFormat="1" applyFont="1" applyFill="1" applyBorder="1" applyAlignment="1">
      <alignment vertical="top"/>
    </xf>
    <xf numFmtId="3" fontId="35" fillId="0" borderId="10" xfId="4" applyNumberFormat="1" applyFont="1" applyFill="1" applyBorder="1" applyAlignment="1">
      <alignment vertical="top"/>
    </xf>
    <xf numFmtId="3" fontId="35" fillId="26" borderId="13" xfId="4" applyNumberFormat="1" applyFont="1" applyFill="1" applyBorder="1" applyAlignment="1">
      <alignment vertical="top"/>
    </xf>
    <xf numFmtId="3" fontId="49" fillId="0" borderId="0" xfId="0" applyNumberFormat="1" applyFont="1" applyBorder="1" applyAlignment="1">
      <alignment vertical="top"/>
    </xf>
    <xf numFmtId="3" fontId="35" fillId="0" borderId="27" xfId="4" applyNumberFormat="1" applyFont="1" applyFill="1" applyBorder="1" applyAlignment="1">
      <alignment vertical="top"/>
    </xf>
    <xf numFmtId="0" fontId="60" fillId="0" borderId="11" xfId="4" applyFont="1" applyFill="1" applyBorder="1" applyAlignment="1">
      <alignment horizontal="left" vertical="center"/>
    </xf>
    <xf numFmtId="3" fontId="35" fillId="0" borderId="27" xfId="4" applyNumberFormat="1" applyFont="1" applyFill="1" applyBorder="1" applyAlignment="1">
      <alignment horizontal="right" vertical="center"/>
    </xf>
    <xf numFmtId="3" fontId="56" fillId="8" borderId="27" xfId="4" applyNumberFormat="1" applyFont="1" applyFill="1" applyBorder="1" applyAlignment="1">
      <alignment horizontal="center" vertical="center"/>
    </xf>
    <xf numFmtId="0" fontId="62" fillId="0" borderId="0" xfId="0" applyFont="1" applyBorder="1" applyAlignment="1">
      <alignment vertical="top"/>
    </xf>
    <xf numFmtId="3" fontId="56" fillId="6" borderId="27" xfId="4" applyNumberFormat="1" applyFont="1" applyFill="1" applyBorder="1" applyAlignment="1">
      <alignment vertical="center"/>
    </xf>
    <xf numFmtId="3" fontId="56" fillId="23" borderId="13" xfId="4" applyNumberFormat="1" applyFont="1" applyFill="1" applyBorder="1" applyAlignment="1">
      <alignment vertical="center"/>
    </xf>
    <xf numFmtId="3" fontId="58" fillId="26" borderId="13" xfId="4" applyNumberFormat="1" applyFont="1" applyFill="1" applyBorder="1" applyAlignment="1">
      <alignment horizontal="right" vertical="center"/>
    </xf>
    <xf numFmtId="0" fontId="58" fillId="0" borderId="11" xfId="4" applyFont="1" applyFill="1" applyBorder="1" applyAlignment="1">
      <alignment horizontal="left" vertical="center"/>
    </xf>
    <xf numFmtId="3" fontId="58" fillId="0" borderId="13" xfId="4" applyNumberFormat="1" applyFont="1" applyFill="1" applyBorder="1" applyAlignment="1">
      <alignment horizontal="right" vertical="center"/>
    </xf>
    <xf numFmtId="3" fontId="58" fillId="0" borderId="10" xfId="4" applyNumberFormat="1" applyFont="1" applyFill="1" applyBorder="1" applyAlignment="1">
      <alignment horizontal="right" vertical="center"/>
    </xf>
    <xf numFmtId="3" fontId="58" fillId="36" borderId="10" xfId="4" applyNumberFormat="1" applyFont="1" applyFill="1" applyBorder="1" applyAlignment="1">
      <alignment horizontal="right" vertical="center"/>
    </xf>
    <xf numFmtId="3" fontId="35" fillId="36" borderId="10" xfId="4" applyNumberFormat="1" applyFont="1" applyFill="1" applyBorder="1" applyAlignment="1">
      <alignment vertical="top"/>
    </xf>
    <xf numFmtId="0" fontId="62" fillId="0" borderId="0" xfId="0" applyFont="1" applyBorder="1" applyAlignment="1"/>
    <xf numFmtId="0" fontId="35" fillId="0" borderId="0" xfId="0" applyFont="1" applyBorder="1" applyAlignment="1">
      <alignment vertical="top"/>
    </xf>
    <xf numFmtId="3" fontId="62" fillId="0" borderId="13" xfId="4" applyNumberFormat="1" applyFont="1" applyFill="1" applyBorder="1" applyAlignment="1">
      <alignment vertical="top"/>
    </xf>
    <xf numFmtId="3" fontId="62" fillId="8" borderId="13" xfId="4" applyNumberFormat="1" applyFont="1" applyFill="1" applyBorder="1" applyAlignment="1">
      <alignment horizontal="right" vertical="center"/>
    </xf>
    <xf numFmtId="0" fontId="63" fillId="0" borderId="0" xfId="0" applyFont="1" applyFill="1" applyBorder="1"/>
    <xf numFmtId="0" fontId="35" fillId="0" borderId="0" xfId="4" applyFont="1" applyFill="1" applyBorder="1" applyAlignment="1">
      <alignment horizontal="center" vertical="center" wrapText="1"/>
    </xf>
    <xf numFmtId="0" fontId="55" fillId="8" borderId="11" xfId="0" applyFont="1" applyFill="1" applyBorder="1" applyAlignment="1">
      <alignment vertical="center" wrapText="1"/>
    </xf>
    <xf numFmtId="0" fontId="35" fillId="8" borderId="10" xfId="0" applyFont="1" applyFill="1" applyBorder="1" applyAlignment="1">
      <alignment vertical="top"/>
    </xf>
    <xf numFmtId="3" fontId="35" fillId="8" borderId="10" xfId="0" applyNumberFormat="1" applyFont="1" applyFill="1" applyBorder="1" applyAlignment="1">
      <alignment vertical="top"/>
    </xf>
    <xf numFmtId="3" fontId="35" fillId="24" borderId="13" xfId="0" applyNumberFormat="1" applyFont="1" applyFill="1" applyBorder="1" applyAlignment="1">
      <alignment vertical="top"/>
    </xf>
    <xf numFmtId="0" fontId="55" fillId="6" borderId="67" xfId="4" applyFont="1" applyFill="1" applyBorder="1" applyAlignment="1">
      <alignment horizontal="left" vertical="center"/>
    </xf>
    <xf numFmtId="3" fontId="55" fillId="6" borderId="13" xfId="4" applyNumberFormat="1" applyFont="1" applyFill="1" applyBorder="1" applyAlignment="1"/>
    <xf numFmtId="0" fontId="60" fillId="2" borderId="67" xfId="4" applyFont="1" applyFill="1" applyBorder="1" applyAlignment="1">
      <alignment vertical="top"/>
    </xf>
    <xf numFmtId="3" fontId="64" fillId="0" borderId="27" xfId="6" applyNumberFormat="1" applyFont="1" applyFill="1" applyBorder="1" applyAlignment="1">
      <alignment vertical="center"/>
    </xf>
    <xf numFmtId="0" fontId="35" fillId="0" borderId="11" xfId="4" applyFont="1" applyFill="1" applyBorder="1" applyAlignment="1">
      <alignment horizontal="left" vertical="center"/>
    </xf>
    <xf numFmtId="3" fontId="63" fillId="0" borderId="27" xfId="6" applyNumberFormat="1" applyFont="1" applyFill="1" applyBorder="1" applyAlignment="1">
      <alignment vertical="center"/>
    </xf>
    <xf numFmtId="3" fontId="63" fillId="0" borderId="13" xfId="6" applyNumberFormat="1" applyFont="1" applyFill="1" applyBorder="1" applyAlignment="1">
      <alignment vertical="center"/>
    </xf>
    <xf numFmtId="3" fontId="35" fillId="2" borderId="13" xfId="4" applyNumberFormat="1" applyFont="1" applyFill="1" applyBorder="1" applyAlignment="1">
      <alignment horizontal="right" vertical="center"/>
    </xf>
    <xf numFmtId="3" fontId="55" fillId="8" borderId="27" xfId="4" applyNumberFormat="1" applyFont="1" applyFill="1" applyBorder="1" applyAlignment="1">
      <alignment horizontal="center" vertical="center"/>
    </xf>
    <xf numFmtId="0" fontId="35" fillId="33" borderId="11" xfId="4" applyFont="1" applyFill="1" applyBorder="1" applyAlignment="1">
      <alignment vertical="top"/>
    </xf>
    <xf numFmtId="0" fontId="0" fillId="0" borderId="6" xfId="0" applyFont="1" applyBorder="1" applyAlignment="1">
      <alignment wrapText="1" shrinkToFit="1"/>
    </xf>
    <xf numFmtId="43" fontId="52" fillId="0" borderId="13" xfId="1" applyFont="1" applyFill="1" applyBorder="1" applyAlignment="1">
      <alignment vertical="top"/>
    </xf>
    <xf numFmtId="43" fontId="52" fillId="0" borderId="13" xfId="1" applyFont="1" applyFill="1" applyBorder="1" applyAlignment="1">
      <alignment vertical="top" wrapText="1"/>
    </xf>
    <xf numFmtId="3" fontId="49" fillId="0" borderId="13" xfId="4" applyNumberFormat="1" applyFont="1" applyFill="1" applyBorder="1" applyAlignment="1">
      <alignment horizontal="right" vertical="center"/>
    </xf>
    <xf numFmtId="3" fontId="49" fillId="2" borderId="13" xfId="4" applyNumberFormat="1" applyFont="1" applyFill="1" applyBorder="1" applyAlignment="1">
      <alignment horizontal="right" vertical="center"/>
    </xf>
    <xf numFmtId="3" fontId="49" fillId="26" borderId="10" xfId="4" applyNumberFormat="1" applyFont="1" applyFill="1" applyBorder="1" applyAlignment="1">
      <alignment vertical="top"/>
    </xf>
    <xf numFmtId="3" fontId="62" fillId="24" borderId="10" xfId="4" applyNumberFormat="1" applyFont="1" applyFill="1" applyBorder="1" applyAlignment="1">
      <alignment horizontal="right" vertical="center"/>
    </xf>
    <xf numFmtId="3" fontId="51" fillId="6" borderId="6" xfId="4" applyNumberFormat="1" applyFont="1" applyFill="1" applyBorder="1" applyAlignment="1">
      <alignment vertical="center"/>
    </xf>
    <xf numFmtId="3" fontId="62" fillId="0" borderId="27" xfId="0" applyNumberFormat="1" applyFont="1" applyFill="1" applyBorder="1" applyAlignment="1">
      <alignment vertical="top"/>
    </xf>
    <xf numFmtId="3" fontId="58" fillId="26" borderId="27" xfId="4" applyNumberFormat="1" applyFont="1" applyFill="1" applyBorder="1" applyAlignment="1">
      <alignment horizontal="right" vertical="center"/>
    </xf>
    <xf numFmtId="4" fontId="62" fillId="0" borderId="13" xfId="4" applyNumberFormat="1" applyFont="1" applyFill="1" applyBorder="1" applyAlignment="1">
      <alignment vertical="top"/>
    </xf>
    <xf numFmtId="3" fontId="62" fillId="0" borderId="13" xfId="0" applyNumberFormat="1" applyFont="1" applyFill="1" applyBorder="1" applyAlignment="1">
      <alignment vertical="center"/>
    </xf>
    <xf numFmtId="3" fontId="62" fillId="0" borderId="13" xfId="4" applyNumberFormat="1" applyFont="1" applyFill="1" applyBorder="1" applyAlignment="1">
      <alignment vertical="center"/>
    </xf>
    <xf numFmtId="0" fontId="52" fillId="0" borderId="0" xfId="0" applyFont="1" applyBorder="1" applyAlignment="1">
      <alignment vertical="center"/>
    </xf>
    <xf numFmtId="0" fontId="48" fillId="8" borderId="11" xfId="4" applyFont="1" applyFill="1" applyBorder="1" applyAlignment="1">
      <alignment horizontal="left" vertical="center" wrapText="1"/>
    </xf>
    <xf numFmtId="3" fontId="51" fillId="8" borderId="27" xfId="4" applyNumberFormat="1" applyFont="1" applyFill="1" applyBorder="1" applyAlignment="1">
      <alignment horizontal="center" vertical="center"/>
    </xf>
    <xf numFmtId="3" fontId="49" fillId="8" borderId="27" xfId="4" applyNumberFormat="1" applyFont="1" applyFill="1" applyBorder="1" applyAlignment="1">
      <alignment horizontal="right" vertical="center"/>
    </xf>
    <xf numFmtId="3" fontId="49" fillId="8" borderId="13" xfId="4" applyNumberFormat="1" applyFont="1" applyFill="1" applyBorder="1" applyAlignment="1">
      <alignment horizontal="right" vertical="center"/>
    </xf>
    <xf numFmtId="3" fontId="49" fillId="24" borderId="10" xfId="4" applyNumberFormat="1" applyFont="1" applyFill="1" applyBorder="1" applyAlignment="1">
      <alignment horizontal="right" vertical="center"/>
    </xf>
    <xf numFmtId="0" fontId="48" fillId="6" borderId="11" xfId="4" applyFont="1" applyFill="1" applyBorder="1" applyAlignment="1">
      <alignment horizontal="left" vertical="center"/>
    </xf>
    <xf numFmtId="3" fontId="48" fillId="6" borderId="27" xfId="4" applyNumberFormat="1" applyFont="1" applyFill="1" applyBorder="1" applyAlignment="1">
      <alignment vertical="center"/>
    </xf>
    <xf numFmtId="43" fontId="48" fillId="6" borderId="13" xfId="1" applyFont="1" applyFill="1" applyBorder="1" applyAlignment="1">
      <alignment vertical="center"/>
    </xf>
    <xf numFmtId="3" fontId="48" fillId="6" borderId="13" xfId="4" applyNumberFormat="1" applyFont="1" applyFill="1" applyBorder="1" applyAlignment="1">
      <alignment vertical="center"/>
    </xf>
    <xf numFmtId="3" fontId="48" fillId="6" borderId="0" xfId="4" applyNumberFormat="1" applyFont="1" applyFill="1" applyBorder="1" applyAlignment="1">
      <alignment vertical="center"/>
    </xf>
    <xf numFmtId="4" fontId="48" fillId="6" borderId="0" xfId="4" applyNumberFormat="1" applyFont="1" applyFill="1" applyBorder="1" applyAlignment="1">
      <alignment vertical="center"/>
    </xf>
    <xf numFmtId="3" fontId="51" fillId="6" borderId="13" xfId="4" applyNumberFormat="1" applyFont="1" applyFill="1" applyBorder="1" applyAlignment="1">
      <alignment vertical="center"/>
    </xf>
    <xf numFmtId="3" fontId="51" fillId="23" borderId="10" xfId="4" applyNumberFormat="1" applyFont="1" applyFill="1" applyBorder="1" applyAlignment="1">
      <alignment vertical="center"/>
    </xf>
    <xf numFmtId="0" fontId="61" fillId="0" borderId="11" xfId="4" applyFont="1" applyFill="1" applyBorder="1" applyAlignment="1">
      <alignment vertical="top"/>
    </xf>
    <xf numFmtId="3" fontId="66" fillId="0" borderId="27" xfId="4" applyNumberFormat="1" applyFont="1" applyFill="1" applyBorder="1" applyAlignment="1">
      <alignment horizontal="right" vertical="center"/>
    </xf>
    <xf numFmtId="43" fontId="66" fillId="0" borderId="27" xfId="1" applyFont="1" applyFill="1" applyBorder="1" applyAlignment="1">
      <alignment horizontal="right" vertical="center"/>
    </xf>
    <xf numFmtId="3" fontId="61" fillId="0" borderId="13" xfId="4" applyNumberFormat="1" applyFont="1" applyFill="1" applyBorder="1" applyAlignment="1">
      <alignment horizontal="right" vertical="center"/>
    </xf>
    <xf numFmtId="4" fontId="61" fillId="0" borderId="13" xfId="4" applyNumberFormat="1" applyFont="1" applyFill="1" applyBorder="1" applyAlignment="1">
      <alignment horizontal="right" vertical="center"/>
    </xf>
    <xf numFmtId="3" fontId="66" fillId="0" borderId="13" xfId="4" applyNumberFormat="1" applyFont="1" applyFill="1" applyBorder="1" applyAlignment="1">
      <alignment horizontal="right" vertical="center"/>
    </xf>
    <xf numFmtId="3" fontId="66" fillId="26" borderId="10" xfId="4" applyNumberFormat="1" applyFont="1" applyFill="1" applyBorder="1" applyAlignment="1">
      <alignment horizontal="right" vertical="center"/>
    </xf>
    <xf numFmtId="0" fontId="49" fillId="0" borderId="11" xfId="4" applyFont="1" applyFill="1" applyBorder="1" applyAlignment="1">
      <alignment vertical="top"/>
    </xf>
    <xf numFmtId="3" fontId="52" fillId="0" borderId="27" xfId="0" applyNumberFormat="1" applyFont="1" applyFill="1" applyBorder="1" applyAlignment="1">
      <alignment vertical="top"/>
    </xf>
    <xf numFmtId="43" fontId="49" fillId="0" borderId="27" xfId="1" applyFont="1" applyFill="1" applyBorder="1" applyAlignment="1">
      <alignment vertical="top"/>
    </xf>
    <xf numFmtId="3" fontId="49" fillId="0" borderId="27" xfId="4" applyNumberFormat="1" applyFont="1" applyFill="1" applyBorder="1" applyAlignment="1">
      <alignment vertical="top"/>
    </xf>
    <xf numFmtId="3" fontId="49" fillId="0" borderId="13" xfId="4" applyNumberFormat="1" applyFont="1" applyFill="1" applyBorder="1" applyAlignment="1">
      <alignment vertical="top"/>
    </xf>
    <xf numFmtId="4" fontId="49" fillId="0" borderId="13" xfId="4" applyNumberFormat="1" applyFont="1" applyFill="1" applyBorder="1" applyAlignment="1">
      <alignment vertical="top"/>
    </xf>
    <xf numFmtId="0" fontId="49" fillId="0" borderId="11" xfId="4" applyFont="1" applyFill="1" applyBorder="1" applyAlignment="1">
      <alignment vertical="top" wrapText="1"/>
    </xf>
    <xf numFmtId="43" fontId="52" fillId="0" borderId="27" xfId="1" applyFont="1" applyFill="1" applyBorder="1" applyAlignment="1">
      <alignment vertical="top"/>
    </xf>
    <xf numFmtId="3" fontId="52" fillId="0" borderId="27" xfId="4" applyNumberFormat="1" applyFont="1" applyFill="1" applyBorder="1" applyAlignment="1">
      <alignment vertical="top"/>
    </xf>
    <xf numFmtId="3" fontId="52" fillId="0" borderId="13" xfId="4" applyNumberFormat="1" applyFont="1" applyFill="1" applyBorder="1" applyAlignment="1">
      <alignment vertical="top"/>
    </xf>
    <xf numFmtId="0" fontId="61" fillId="0" borderId="11" xfId="4" applyFont="1" applyFill="1" applyBorder="1" applyAlignment="1">
      <alignment horizontal="left" vertical="center"/>
    </xf>
    <xf numFmtId="3" fontId="61" fillId="0" borderId="27" xfId="4" applyNumberFormat="1" applyFont="1" applyFill="1" applyBorder="1" applyAlignment="1">
      <alignment horizontal="right" vertical="center"/>
    </xf>
    <xf numFmtId="4" fontId="61" fillId="0" borderId="27" xfId="4" applyNumberFormat="1" applyFont="1" applyFill="1" applyBorder="1" applyAlignment="1">
      <alignment horizontal="right" vertical="center"/>
    </xf>
    <xf numFmtId="43" fontId="51" fillId="6" borderId="13" xfId="1" applyFont="1" applyFill="1" applyBorder="1" applyAlignment="1">
      <alignment vertical="center"/>
    </xf>
    <xf numFmtId="3" fontId="51" fillId="23" borderId="10" xfId="4" applyNumberFormat="1" applyFont="1" applyFill="1" applyBorder="1" applyAlignment="1">
      <alignment horizontal="center" vertical="center"/>
    </xf>
    <xf numFmtId="3" fontId="49" fillId="37" borderId="13" xfId="4" applyNumberFormat="1" applyFont="1" applyFill="1" applyBorder="1" applyAlignment="1">
      <alignment vertical="top"/>
    </xf>
    <xf numFmtId="43" fontId="66" fillId="0" borderId="13" xfId="1" applyFont="1" applyFill="1" applyBorder="1" applyAlignment="1">
      <alignment horizontal="right" vertical="center"/>
    </xf>
    <xf numFmtId="3" fontId="52" fillId="0" borderId="13" xfId="4" applyNumberFormat="1" applyFont="1" applyFill="1" applyBorder="1" applyAlignment="1">
      <alignment vertical="center"/>
    </xf>
    <xf numFmtId="3" fontId="49" fillId="0" borderId="13" xfId="4" applyNumberFormat="1" applyFont="1" applyFill="1" applyBorder="1" applyAlignment="1">
      <alignment vertical="center"/>
    </xf>
    <xf numFmtId="0" fontId="108" fillId="2" borderId="0" xfId="0" applyFont="1" applyFill="1" applyBorder="1" applyAlignment="1">
      <alignment vertical="center"/>
    </xf>
    <xf numFmtId="3" fontId="108" fillId="2" borderId="0" xfId="0" applyNumberFormat="1" applyFont="1" applyFill="1" applyBorder="1" applyAlignment="1">
      <alignment horizontal="left" vertical="center"/>
    </xf>
    <xf numFmtId="0" fontId="108" fillId="38" borderId="0" xfId="0" applyFont="1" applyFill="1" applyBorder="1" applyAlignment="1">
      <alignment vertical="center"/>
    </xf>
    <xf numFmtId="0" fontId="52" fillId="0" borderId="0" xfId="0" applyFont="1" applyBorder="1" applyAlignment="1">
      <alignment horizontal="center" vertical="top" wrapText="1"/>
    </xf>
    <xf numFmtId="0" fontId="52" fillId="0" borderId="67" xfId="0" applyFont="1" applyBorder="1" applyAlignment="1">
      <alignment vertical="top"/>
    </xf>
    <xf numFmtId="3" fontId="56" fillId="23" borderId="35" xfId="4" applyNumberFormat="1" applyFont="1" applyFill="1" applyBorder="1" applyAlignment="1">
      <alignment horizontal="right" vertical="center"/>
    </xf>
    <xf numFmtId="3" fontId="56" fillId="6" borderId="35" xfId="4" applyNumberFormat="1" applyFont="1" applyFill="1" applyBorder="1" applyAlignment="1">
      <alignment vertical="center"/>
    </xf>
    <xf numFmtId="0" fontId="60" fillId="8" borderId="32" xfId="4" applyFont="1" applyFill="1" applyBorder="1" applyAlignment="1">
      <alignment vertical="top"/>
    </xf>
    <xf numFmtId="0" fontId="58" fillId="8" borderId="100" xfId="4" applyFont="1" applyFill="1" applyBorder="1" applyAlignment="1">
      <alignment horizontal="left" vertical="center"/>
    </xf>
    <xf numFmtId="3" fontId="58" fillId="8" borderId="98" xfId="4" applyNumberFormat="1" applyFont="1" applyFill="1" applyBorder="1" applyAlignment="1">
      <alignment vertical="top"/>
    </xf>
    <xf numFmtId="3" fontId="58" fillId="24" borderId="98" xfId="4" applyNumberFormat="1" applyFont="1" applyFill="1" applyBorder="1" applyAlignment="1">
      <alignment vertical="top"/>
    </xf>
    <xf numFmtId="0" fontId="58" fillId="8" borderId="21" xfId="4" applyFont="1" applyFill="1" applyBorder="1" applyAlignment="1">
      <alignment horizontal="left" vertical="center"/>
    </xf>
    <xf numFmtId="0" fontId="58" fillId="8" borderId="20" xfId="4" applyFont="1" applyFill="1" applyBorder="1" applyAlignment="1">
      <alignment horizontal="left" vertical="center"/>
    </xf>
    <xf numFmtId="3" fontId="58" fillId="8" borderId="35" xfId="4" applyNumberFormat="1" applyFont="1" applyFill="1" applyBorder="1" applyAlignment="1">
      <alignment vertical="top"/>
    </xf>
    <xf numFmtId="3" fontId="58" fillId="24" borderId="35" xfId="4" applyNumberFormat="1" applyFont="1" applyFill="1" applyBorder="1" applyAlignment="1">
      <alignment vertical="top"/>
    </xf>
    <xf numFmtId="0" fontId="58" fillId="8" borderId="9" xfId="4" applyFont="1" applyFill="1" applyBorder="1" applyAlignment="1">
      <alignment horizontal="left" vertical="center"/>
    </xf>
    <xf numFmtId="0" fontId="35" fillId="8" borderId="32" xfId="4" applyFont="1" applyFill="1" applyBorder="1" applyAlignment="1">
      <alignment vertical="top"/>
    </xf>
    <xf numFmtId="3" fontId="35" fillId="8" borderId="98" xfId="4" applyNumberFormat="1" applyFont="1" applyFill="1" applyBorder="1" applyAlignment="1">
      <alignment vertical="top"/>
    </xf>
    <xf numFmtId="0" fontId="55" fillId="8" borderId="32" xfId="4" applyFont="1" applyFill="1" applyBorder="1" applyAlignment="1">
      <alignment horizontal="left" vertical="center" wrapText="1"/>
    </xf>
    <xf numFmtId="3" fontId="35" fillId="8" borderId="98" xfId="4" applyNumberFormat="1" applyFont="1" applyFill="1" applyBorder="1" applyAlignment="1">
      <alignment horizontal="right" vertical="center"/>
    </xf>
    <xf numFmtId="3" fontId="55" fillId="8" borderId="116" xfId="4" applyNumberFormat="1" applyFont="1" applyFill="1" applyBorder="1" applyAlignment="1">
      <alignment horizontal="center" vertical="center" wrapText="1"/>
    </xf>
    <xf numFmtId="3" fontId="35" fillId="8" borderId="116" xfId="4" applyNumberFormat="1" applyFont="1" applyFill="1" applyBorder="1" applyAlignment="1">
      <alignment horizontal="right" vertical="center"/>
    </xf>
    <xf numFmtId="3" fontId="35" fillId="8" borderId="110" xfId="4" applyNumberFormat="1" applyFont="1" applyFill="1" applyBorder="1" applyAlignment="1">
      <alignment horizontal="right" vertical="center"/>
    </xf>
    <xf numFmtId="3" fontId="55" fillId="6" borderId="28" xfId="4" applyNumberFormat="1" applyFont="1" applyFill="1" applyBorder="1" applyAlignment="1">
      <alignment vertical="center"/>
    </xf>
    <xf numFmtId="3" fontId="55" fillId="6" borderId="98" xfId="4" applyNumberFormat="1" applyFont="1" applyFill="1" applyBorder="1" applyAlignment="1">
      <alignment vertical="center"/>
    </xf>
    <xf numFmtId="3" fontId="55" fillId="6" borderId="117" xfId="4" applyNumberFormat="1" applyFont="1" applyFill="1" applyBorder="1" applyAlignment="1">
      <alignment vertical="center"/>
    </xf>
    <xf numFmtId="3" fontId="55" fillId="23" borderId="98" xfId="4" applyNumberFormat="1" applyFont="1" applyFill="1" applyBorder="1" applyAlignment="1">
      <alignment vertical="center"/>
    </xf>
    <xf numFmtId="0" fontId="60" fillId="0" borderId="32" xfId="4" applyFont="1" applyFill="1" applyBorder="1" applyAlignment="1">
      <alignment vertical="top"/>
    </xf>
    <xf numFmtId="3" fontId="60" fillId="0" borderId="117" xfId="4" applyNumberFormat="1" applyFont="1" applyFill="1" applyBorder="1" applyAlignment="1">
      <alignment horizontal="right" vertical="center"/>
    </xf>
    <xf numFmtId="3" fontId="60" fillId="0" borderId="98" xfId="4" applyNumberFormat="1" applyFont="1" applyFill="1" applyBorder="1" applyAlignment="1">
      <alignment horizontal="right" vertical="center"/>
    </xf>
    <xf numFmtId="3" fontId="60" fillId="26" borderId="98" xfId="4" applyNumberFormat="1" applyFont="1" applyFill="1" applyBorder="1" applyAlignment="1">
      <alignment horizontal="right" vertical="center"/>
    </xf>
    <xf numFmtId="3" fontId="35" fillId="0" borderId="98" xfId="4" applyNumberFormat="1" applyFont="1" applyFill="1" applyBorder="1" applyAlignment="1">
      <alignment vertical="top"/>
    </xf>
    <xf numFmtId="3" fontId="35" fillId="0" borderId="109" xfId="4" applyNumberFormat="1" applyFont="1" applyFill="1" applyBorder="1" applyAlignment="1">
      <alignment vertical="top"/>
    </xf>
    <xf numFmtId="3" fontId="35" fillId="26" borderId="98" xfId="4" applyNumberFormat="1" applyFont="1" applyFill="1" applyBorder="1" applyAlignment="1">
      <alignment vertical="top"/>
    </xf>
    <xf numFmtId="0" fontId="35" fillId="0" borderId="32" xfId="4" applyFont="1" applyFill="1" applyBorder="1" applyAlignment="1">
      <alignment vertical="top" wrapText="1"/>
    </xf>
    <xf numFmtId="3" fontId="35" fillId="0" borderId="100" xfId="4" applyNumberFormat="1" applyFont="1" applyFill="1" applyBorder="1" applyAlignment="1">
      <alignment vertical="top"/>
    </xf>
    <xf numFmtId="0" fontId="60" fillId="0" borderId="32" xfId="4" applyFont="1" applyFill="1" applyBorder="1" applyAlignment="1">
      <alignment horizontal="left" vertical="center"/>
    </xf>
    <xf numFmtId="3" fontId="60" fillId="0" borderId="100" xfId="4" applyNumberFormat="1" applyFont="1" applyFill="1" applyBorder="1" applyAlignment="1">
      <alignment horizontal="right" vertical="center"/>
    </xf>
    <xf numFmtId="3" fontId="62" fillId="0" borderId="117" xfId="4" applyNumberFormat="1" applyFont="1" applyFill="1" applyBorder="1" applyAlignment="1">
      <alignment horizontal="right" vertical="center"/>
    </xf>
    <xf numFmtId="3" fontId="35" fillId="0" borderId="100" xfId="4" applyNumberFormat="1" applyFont="1" applyFill="1" applyBorder="1" applyAlignment="1">
      <alignment horizontal="right" vertical="center"/>
    </xf>
    <xf numFmtId="3" fontId="35" fillId="0" borderId="109" xfId="4" applyNumberFormat="1" applyFont="1" applyFill="1" applyBorder="1" applyAlignment="1">
      <alignment horizontal="right" vertical="center"/>
    </xf>
    <xf numFmtId="3" fontId="60" fillId="0" borderId="109" xfId="4" applyNumberFormat="1" applyFont="1" applyFill="1" applyBorder="1" applyAlignment="1">
      <alignment horizontal="right" vertical="center"/>
    </xf>
    <xf numFmtId="3" fontId="55" fillId="23" borderId="98" xfId="4" applyNumberFormat="1" applyFont="1" applyFill="1" applyBorder="1" applyAlignment="1">
      <alignment horizontal="center" vertical="center"/>
    </xf>
    <xf numFmtId="3" fontId="35" fillId="8" borderId="100" xfId="4" applyNumberFormat="1" applyFont="1" applyFill="1" applyBorder="1" applyAlignment="1">
      <alignment horizontal="right" vertical="center"/>
    </xf>
    <xf numFmtId="3" fontId="35" fillId="24" borderId="98" xfId="4" applyNumberFormat="1" applyFont="1" applyFill="1" applyBorder="1" applyAlignment="1">
      <alignment horizontal="right" vertical="center"/>
    </xf>
    <xf numFmtId="3" fontId="55" fillId="6" borderId="100" xfId="4" applyNumberFormat="1" applyFont="1" applyFill="1" applyBorder="1" applyAlignment="1">
      <alignment vertical="center"/>
    </xf>
    <xf numFmtId="43" fontId="55" fillId="6" borderId="98" xfId="1" applyFont="1" applyFill="1" applyBorder="1" applyAlignment="1">
      <alignment vertical="center"/>
    </xf>
    <xf numFmtId="43" fontId="55" fillId="6" borderId="117" xfId="1" applyFont="1" applyFill="1" applyBorder="1" applyAlignment="1">
      <alignment vertical="center"/>
    </xf>
    <xf numFmtId="43" fontId="55" fillId="23" borderId="98" xfId="1" applyFont="1" applyFill="1" applyBorder="1" applyAlignment="1">
      <alignment vertical="center"/>
    </xf>
    <xf numFmtId="43" fontId="60" fillId="0" borderId="100" xfId="1" applyFont="1" applyFill="1" applyBorder="1" applyAlignment="1">
      <alignment horizontal="right" vertical="center"/>
    </xf>
    <xf numFmtId="43" fontId="60" fillId="26" borderId="98" xfId="1" applyFont="1" applyFill="1" applyBorder="1" applyAlignment="1">
      <alignment horizontal="right" vertical="center"/>
    </xf>
    <xf numFmtId="43" fontId="35" fillId="0" borderId="98" xfId="1" applyFont="1" applyFill="1" applyBorder="1" applyAlignment="1">
      <alignment vertical="top"/>
    </xf>
    <xf numFmtId="43" fontId="35" fillId="26" borderId="98" xfId="1" applyFont="1" applyFill="1" applyBorder="1" applyAlignment="1">
      <alignment vertical="top"/>
    </xf>
    <xf numFmtId="43" fontId="35" fillId="0" borderId="100" xfId="1" applyFont="1" applyFill="1" applyBorder="1" applyAlignment="1">
      <alignment vertical="top"/>
    </xf>
    <xf numFmtId="43" fontId="60" fillId="0" borderId="98" xfId="1" applyFont="1" applyFill="1" applyBorder="1" applyAlignment="1">
      <alignment horizontal="right" vertical="center"/>
    </xf>
    <xf numFmtId="43" fontId="35" fillId="0" borderId="98" xfId="1" applyFont="1" applyFill="1" applyBorder="1" applyAlignment="1">
      <alignment horizontal="right" vertical="center"/>
    </xf>
    <xf numFmtId="43" fontId="35" fillId="0" borderId="109" xfId="1" applyFont="1" applyFill="1" applyBorder="1" applyAlignment="1">
      <alignment horizontal="right" vertical="center"/>
    </xf>
    <xf numFmtId="0" fontId="55" fillId="2" borderId="28" xfId="4" applyFont="1" applyFill="1" applyBorder="1" applyAlignment="1">
      <alignment horizontal="center" vertical="center" wrapText="1"/>
    </xf>
    <xf numFmtId="43" fontId="35" fillId="0" borderId="117" xfId="1" applyFont="1" applyFill="1" applyBorder="1" applyAlignment="1">
      <alignment horizontal="right" vertical="center"/>
    </xf>
    <xf numFmtId="43" fontId="60" fillId="0" borderId="109" xfId="1" applyFont="1" applyFill="1" applyBorder="1" applyAlignment="1">
      <alignment horizontal="right" vertical="center"/>
    </xf>
    <xf numFmtId="43" fontId="35" fillId="0" borderId="109" xfId="1" applyFont="1" applyFill="1" applyBorder="1" applyAlignment="1">
      <alignment vertical="top"/>
    </xf>
    <xf numFmtId="0" fontId="55" fillId="2" borderId="100" xfId="4" applyFont="1" applyFill="1" applyBorder="1" applyAlignment="1">
      <alignment horizontal="center" vertical="center" wrapText="1"/>
    </xf>
    <xf numFmtId="3" fontId="56" fillId="8" borderId="100" xfId="4" applyNumberFormat="1" applyFont="1" applyFill="1" applyBorder="1" applyAlignment="1">
      <alignment horizontal="center" vertical="center"/>
    </xf>
    <xf numFmtId="3" fontId="35" fillId="8" borderId="109" xfId="4" applyNumberFormat="1" applyFont="1" applyFill="1" applyBorder="1" applyAlignment="1">
      <alignment horizontal="right" vertical="center"/>
    </xf>
    <xf numFmtId="3" fontId="56" fillId="6" borderId="100" xfId="4" applyNumberFormat="1" applyFont="1" applyFill="1" applyBorder="1" applyAlignment="1">
      <alignment vertical="center"/>
    </xf>
    <xf numFmtId="43" fontId="56" fillId="6" borderId="98" xfId="1" applyFont="1" applyFill="1" applyBorder="1" applyAlignment="1">
      <alignment vertical="center"/>
    </xf>
    <xf numFmtId="3" fontId="56" fillId="6" borderId="98" xfId="4" applyNumberFormat="1" applyFont="1" applyFill="1" applyBorder="1" applyAlignment="1">
      <alignment vertical="center"/>
    </xf>
    <xf numFmtId="3" fontId="56" fillId="6" borderId="117" xfId="4" applyNumberFormat="1" applyFont="1" applyFill="1" applyBorder="1" applyAlignment="1">
      <alignment vertical="center"/>
    </xf>
    <xf numFmtId="3" fontId="56" fillId="23" borderId="98" xfId="4" applyNumberFormat="1" applyFont="1" applyFill="1" applyBorder="1" applyAlignment="1">
      <alignment vertical="center"/>
    </xf>
    <xf numFmtId="3" fontId="58" fillId="26" borderId="98" xfId="4" applyNumberFormat="1" applyFont="1" applyFill="1" applyBorder="1" applyAlignment="1">
      <alignment horizontal="right" vertical="center"/>
    </xf>
    <xf numFmtId="0" fontId="58" fillId="0" borderId="32" xfId="4" applyFont="1" applyFill="1" applyBorder="1" applyAlignment="1">
      <alignment horizontal="left" vertical="center"/>
    </xf>
    <xf numFmtId="0" fontId="35" fillId="0" borderId="32" xfId="4" applyFont="1" applyFill="1" applyBorder="1" applyAlignment="1"/>
    <xf numFmtId="3" fontId="62" fillId="0" borderId="98" xfId="4" applyNumberFormat="1" applyFont="1" applyFill="1" applyBorder="1" applyAlignment="1">
      <alignment vertical="top"/>
    </xf>
    <xf numFmtId="3" fontId="62" fillId="0" borderId="100" xfId="4" applyNumberFormat="1" applyFont="1" applyFill="1" applyBorder="1" applyAlignment="1">
      <alignment vertical="top"/>
    </xf>
    <xf numFmtId="43" fontId="62" fillId="0" borderId="117" xfId="1" applyFont="1" applyFill="1" applyBorder="1" applyAlignment="1">
      <alignment vertical="top"/>
    </xf>
    <xf numFmtId="43" fontId="62" fillId="0" borderId="98" xfId="1" applyFont="1" applyFill="1" applyBorder="1" applyAlignment="1">
      <alignment vertical="top"/>
    </xf>
    <xf numFmtId="3" fontId="56" fillId="6" borderId="28" xfId="4" applyNumberFormat="1" applyFont="1" applyFill="1" applyBorder="1" applyAlignment="1">
      <alignment vertical="center"/>
    </xf>
    <xf numFmtId="3" fontId="35" fillId="0" borderId="98" xfId="4" applyNumberFormat="1" applyFont="1" applyFill="1" applyBorder="1" applyAlignment="1">
      <alignment vertical="top" wrapText="1"/>
    </xf>
    <xf numFmtId="43" fontId="56" fillId="23" borderId="98" xfId="1" applyFont="1" applyFill="1" applyBorder="1" applyAlignment="1">
      <alignment vertical="center"/>
    </xf>
    <xf numFmtId="43" fontId="58" fillId="26" borderId="98" xfId="1" applyFont="1" applyFill="1" applyBorder="1" applyAlignment="1">
      <alignment horizontal="right" vertical="center"/>
    </xf>
    <xf numFmtId="43" fontId="60" fillId="0" borderId="117" xfId="1" applyFont="1" applyFill="1" applyBorder="1" applyAlignment="1">
      <alignment horizontal="right" vertical="center"/>
    </xf>
    <xf numFmtId="3" fontId="35" fillId="0" borderId="100" xfId="0" applyNumberFormat="1" applyFont="1" applyFill="1" applyBorder="1" applyAlignment="1">
      <alignment vertical="top"/>
    </xf>
    <xf numFmtId="0" fontId="58" fillId="57" borderId="32" xfId="4" applyFont="1" applyFill="1" applyBorder="1" applyAlignment="1">
      <alignment horizontal="left" vertical="center"/>
    </xf>
    <xf numFmtId="0" fontId="58" fillId="57" borderId="28" xfId="4" applyFont="1" applyFill="1" applyBorder="1" applyAlignment="1">
      <alignment horizontal="left" vertical="center"/>
    </xf>
    <xf numFmtId="3" fontId="58" fillId="57" borderId="100" xfId="4" applyNumberFormat="1" applyFont="1" applyFill="1" applyBorder="1" applyAlignment="1">
      <alignment horizontal="right" vertical="center"/>
    </xf>
    <xf numFmtId="3" fontId="58" fillId="22" borderId="98" xfId="4" applyNumberFormat="1" applyFont="1" applyFill="1" applyBorder="1" applyAlignment="1">
      <alignment horizontal="right" vertical="center"/>
    </xf>
    <xf numFmtId="0" fontId="58" fillId="57" borderId="32" xfId="0" applyFont="1" applyFill="1" applyBorder="1" applyAlignment="1">
      <alignment horizontal="left" vertical="top"/>
    </xf>
    <xf numFmtId="0" fontId="59" fillId="57" borderId="28" xfId="0" quotePrefix="1" applyFont="1" applyFill="1" applyBorder="1" applyAlignment="1">
      <alignment horizontal="center" vertical="top"/>
    </xf>
    <xf numFmtId="3" fontId="58" fillId="57" borderId="100" xfId="0" quotePrefix="1" applyNumberFormat="1" applyFont="1" applyFill="1" applyBorder="1" applyAlignment="1">
      <alignment horizontal="right" vertical="top"/>
    </xf>
    <xf numFmtId="0" fontId="56" fillId="6" borderId="100" xfId="0" applyFont="1" applyFill="1" applyBorder="1" applyAlignment="1">
      <alignment vertical="center"/>
    </xf>
    <xf numFmtId="3" fontId="56" fillId="6" borderId="117" xfId="0" applyNumberFormat="1" applyFont="1" applyFill="1" applyBorder="1" applyAlignment="1">
      <alignment vertical="center"/>
    </xf>
    <xf numFmtId="3" fontId="56" fillId="6" borderId="109" xfId="0" applyNumberFormat="1" applyFont="1" applyFill="1" applyBorder="1" applyAlignment="1">
      <alignment vertical="center"/>
    </xf>
    <xf numFmtId="0" fontId="35" fillId="8" borderId="100" xfId="4" applyFont="1" applyFill="1" applyBorder="1" applyAlignment="1">
      <alignment vertical="top"/>
    </xf>
    <xf numFmtId="3" fontId="62" fillId="8" borderId="98" xfId="4" applyNumberFormat="1" applyFont="1" applyFill="1" applyBorder="1" applyAlignment="1">
      <alignment vertical="top"/>
    </xf>
    <xf numFmtId="0" fontId="35" fillId="8" borderId="32" xfId="4" applyFont="1" applyFill="1" applyBorder="1" applyAlignment="1">
      <alignment vertical="center" wrapText="1"/>
    </xf>
    <xf numFmtId="0" fontId="35" fillId="8" borderId="100" xfId="4" applyFont="1" applyFill="1" applyBorder="1" applyAlignment="1">
      <alignment vertical="center"/>
    </xf>
    <xf numFmtId="3" fontId="35" fillId="8" borderId="98" xfId="4" applyNumberFormat="1" applyFont="1" applyFill="1" applyBorder="1" applyAlignment="1">
      <alignment vertical="center"/>
    </xf>
    <xf numFmtId="3" fontId="62" fillId="8" borderId="98" xfId="4" applyNumberFormat="1" applyFont="1" applyFill="1" applyBorder="1" applyAlignment="1">
      <alignment vertical="center"/>
    </xf>
    <xf numFmtId="0" fontId="35" fillId="8" borderId="32" xfId="4" applyFont="1" applyFill="1" applyBorder="1" applyAlignment="1">
      <alignment vertical="center"/>
    </xf>
    <xf numFmtId="3" fontId="56" fillId="23" borderId="98" xfId="4" applyNumberFormat="1" applyFont="1" applyFill="1" applyBorder="1" applyAlignment="1">
      <alignment horizontal="center" vertical="center"/>
    </xf>
    <xf numFmtId="43" fontId="55" fillId="6" borderId="100" xfId="1" applyFont="1" applyFill="1" applyBorder="1" applyAlignment="1">
      <alignment vertical="center"/>
    </xf>
    <xf numFmtId="3" fontId="35" fillId="36" borderId="98" xfId="4" applyNumberFormat="1" applyFont="1" applyFill="1" applyBorder="1" applyAlignment="1">
      <alignment vertical="top"/>
    </xf>
    <xf numFmtId="3" fontId="58" fillId="36" borderId="98" xfId="4" applyNumberFormat="1" applyFont="1" applyFill="1" applyBorder="1" applyAlignment="1">
      <alignment horizontal="right" vertical="center"/>
    </xf>
    <xf numFmtId="3" fontId="55" fillId="35" borderId="98" xfId="4" applyNumberFormat="1" applyFont="1" applyFill="1" applyBorder="1" applyAlignment="1">
      <alignment horizontal="center" vertical="center"/>
    </xf>
    <xf numFmtId="3" fontId="35" fillId="0" borderId="117" xfId="4" applyNumberFormat="1" applyFont="1" applyFill="1" applyBorder="1" applyAlignment="1">
      <alignment vertical="top"/>
    </xf>
    <xf numFmtId="0" fontId="0" fillId="0" borderId="100" xfId="0" applyFont="1" applyBorder="1"/>
    <xf numFmtId="3" fontId="56" fillId="8" borderId="98" xfId="4" applyNumberFormat="1" applyFont="1" applyFill="1" applyBorder="1" applyAlignment="1">
      <alignment horizontal="center" vertical="center"/>
    </xf>
    <xf numFmtId="43" fontId="56" fillId="6" borderId="109" xfId="1" applyFont="1" applyFill="1" applyBorder="1" applyAlignment="1">
      <alignment vertical="center"/>
    </xf>
    <xf numFmtId="43" fontId="56" fillId="6" borderId="117" xfId="1" applyFont="1" applyFill="1" applyBorder="1" applyAlignment="1">
      <alignment vertical="center"/>
    </xf>
    <xf numFmtId="0" fontId="0" fillId="0" borderId="117" xfId="0" applyFont="1" applyBorder="1"/>
    <xf numFmtId="43" fontId="0" fillId="0" borderId="117" xfId="1" applyFont="1" applyBorder="1"/>
    <xf numFmtId="0" fontId="56" fillId="2" borderId="118" xfId="0" applyFont="1" applyFill="1" applyBorder="1" applyAlignment="1">
      <alignment horizontal="center" vertical="top"/>
    </xf>
    <xf numFmtId="0" fontId="50" fillId="2" borderId="116" xfId="0" applyFont="1" applyFill="1" applyBorder="1" applyAlignment="1">
      <alignment vertical="center" wrapText="1"/>
    </xf>
    <xf numFmtId="0" fontId="50" fillId="2" borderId="119" xfId="0" applyFont="1" applyFill="1" applyBorder="1" applyAlignment="1">
      <alignment vertical="center" wrapText="1"/>
    </xf>
    <xf numFmtId="0" fontId="56" fillId="2" borderId="43" xfId="0" applyFont="1" applyFill="1" applyBorder="1" applyAlignment="1">
      <alignment horizontal="center" vertical="top"/>
    </xf>
    <xf numFmtId="0" fontId="62" fillId="0" borderId="10" xfId="0" applyFont="1" applyBorder="1" applyAlignment="1">
      <alignment horizontal="center" vertical="top"/>
    </xf>
    <xf numFmtId="0" fontId="60" fillId="8" borderId="43" xfId="0" applyFont="1" applyFill="1" applyBorder="1" applyAlignment="1">
      <alignment vertical="top"/>
    </xf>
    <xf numFmtId="3" fontId="49" fillId="8" borderId="13" xfId="4" applyNumberFormat="1" applyFont="1" applyFill="1" applyBorder="1" applyAlignment="1">
      <alignment vertical="top" wrapText="1"/>
    </xf>
    <xf numFmtId="0" fontId="35" fillId="8" borderId="43" xfId="4" applyFont="1" applyFill="1" applyBorder="1" applyAlignment="1">
      <alignment vertical="top"/>
    </xf>
    <xf numFmtId="0" fontId="56" fillId="8" borderId="10" xfId="0" applyFont="1" applyFill="1" applyBorder="1" applyAlignment="1">
      <alignment vertical="center"/>
    </xf>
    <xf numFmtId="3" fontId="49" fillId="0" borderId="13" xfId="4" applyNumberFormat="1" applyFont="1" applyFill="1" applyBorder="1" applyAlignment="1">
      <alignment horizontal="center" vertical="center" wrapText="1"/>
    </xf>
    <xf numFmtId="0" fontId="55" fillId="8" borderId="10" xfId="4" applyFont="1" applyFill="1" applyBorder="1" applyAlignment="1">
      <alignment horizontal="right" vertical="top"/>
    </xf>
    <xf numFmtId="0" fontId="49" fillId="0" borderId="13" xfId="4" applyFont="1" applyFill="1" applyBorder="1" applyAlignment="1">
      <alignment horizontal="center" vertical="center" wrapText="1"/>
    </xf>
    <xf numFmtId="0" fontId="35" fillId="8" borderId="10" xfId="4" applyFont="1" applyFill="1" applyBorder="1" applyAlignment="1">
      <alignment vertical="top"/>
    </xf>
    <xf numFmtId="0" fontId="60" fillId="8" borderId="100" xfId="4" applyFont="1" applyFill="1" applyBorder="1" applyAlignment="1">
      <alignment horizontal="left" vertical="center"/>
    </xf>
    <xf numFmtId="0" fontId="35" fillId="8" borderId="100" xfId="4" applyFont="1" applyFill="1" applyBorder="1" applyAlignment="1">
      <alignment horizontal="left" vertical="center"/>
    </xf>
    <xf numFmtId="0" fontId="62" fillId="8" borderId="100" xfId="4" applyFont="1" applyFill="1" applyBorder="1" applyAlignment="1">
      <alignment horizontal="left" vertical="center"/>
    </xf>
    <xf numFmtId="0" fontId="55" fillId="0" borderId="43" xfId="4" quotePrefix="1" applyFont="1" applyFill="1" applyBorder="1" applyAlignment="1">
      <alignment horizontal="center" vertical="center"/>
    </xf>
    <xf numFmtId="0" fontId="55" fillId="0" borderId="43" xfId="4" applyFont="1" applyFill="1" applyBorder="1" applyAlignment="1">
      <alignment vertical="center"/>
    </xf>
    <xf numFmtId="0" fontId="49" fillId="0" borderId="13" xfId="4" applyFont="1" applyFill="1" applyBorder="1" applyAlignment="1">
      <alignment vertical="center" wrapText="1"/>
    </xf>
    <xf numFmtId="0" fontId="83" fillId="2" borderId="10" xfId="0" applyFont="1" applyFill="1" applyBorder="1" applyAlignment="1">
      <alignment vertical="center"/>
    </xf>
    <xf numFmtId="0" fontId="108" fillId="2" borderId="27" xfId="0" applyFont="1" applyFill="1" applyBorder="1" applyAlignment="1">
      <alignment horizontal="center" vertical="center" wrapText="1"/>
    </xf>
    <xf numFmtId="0" fontId="55" fillId="8" borderId="43" xfId="4" applyFont="1" applyFill="1" applyBorder="1" applyAlignment="1">
      <alignment horizontal="right" vertical="top"/>
    </xf>
    <xf numFmtId="0" fontId="35" fillId="8" borderId="10" xfId="4" applyFont="1" applyFill="1" applyBorder="1" applyAlignment="1">
      <alignment vertical="center"/>
    </xf>
    <xf numFmtId="3" fontId="49" fillId="8" borderId="13" xfId="4" applyNumberFormat="1" applyFont="1" applyFill="1" applyBorder="1" applyAlignment="1">
      <alignment vertical="center" wrapText="1"/>
    </xf>
    <xf numFmtId="0" fontId="49" fillId="0" borderId="35" xfId="4" applyFont="1" applyFill="1" applyBorder="1" applyAlignment="1">
      <alignment horizontal="center" vertical="center" wrapText="1"/>
    </xf>
    <xf numFmtId="0" fontId="49" fillId="0" borderId="110" xfId="4" applyFont="1" applyFill="1" applyBorder="1" applyAlignment="1">
      <alignment horizontal="center" vertical="center" wrapText="1"/>
    </xf>
    <xf numFmtId="3" fontId="49" fillId="8" borderId="110" xfId="4" applyNumberFormat="1" applyFont="1" applyFill="1" applyBorder="1" applyAlignment="1">
      <alignment vertical="top" wrapText="1"/>
    </xf>
    <xf numFmtId="3" fontId="49" fillId="8" borderId="35" xfId="4" applyNumberFormat="1" applyFont="1" applyFill="1" applyBorder="1" applyAlignment="1">
      <alignment vertical="top" wrapText="1"/>
    </xf>
    <xf numFmtId="9" fontId="56" fillId="2" borderId="46" xfId="2" applyFont="1" applyFill="1" applyBorder="1" applyAlignment="1">
      <alignment horizontal="center" vertical="top"/>
    </xf>
    <xf numFmtId="0" fontId="54" fillId="0" borderId="35" xfId="0" applyFont="1" applyBorder="1" applyAlignment="1">
      <alignment horizontal="center" vertical="center" wrapText="1"/>
    </xf>
    <xf numFmtId="0" fontId="55" fillId="0" borderId="35" xfId="0" applyFont="1" applyBorder="1" applyAlignment="1">
      <alignment horizontal="center" vertical="center"/>
    </xf>
    <xf numFmtId="0" fontId="56" fillId="0" borderId="35" xfId="4" applyFont="1" applyBorder="1" applyAlignment="1">
      <alignment horizontal="center" vertical="center" wrapText="1"/>
    </xf>
    <xf numFmtId="0" fontId="56" fillId="33" borderId="35" xfId="4" applyFont="1" applyFill="1" applyBorder="1" applyAlignment="1">
      <alignment horizontal="center" vertical="center" wrapText="1"/>
    </xf>
    <xf numFmtId="3" fontId="124" fillId="0" borderId="72" xfId="6" applyNumberFormat="1" applyFont="1" applyFill="1" applyBorder="1" applyAlignment="1">
      <alignment vertical="center"/>
    </xf>
    <xf numFmtId="0" fontId="120" fillId="6" borderId="101" xfId="4" applyFont="1" applyFill="1" applyBorder="1" applyAlignment="1">
      <alignment horizontal="left" vertical="center"/>
    </xf>
    <xf numFmtId="3" fontId="116" fillId="6" borderId="100" xfId="4" applyNumberFormat="1" applyFont="1" applyFill="1" applyBorder="1" applyAlignment="1"/>
    <xf numFmtId="3" fontId="120" fillId="23" borderId="98" xfId="4" applyNumberFormat="1" applyFont="1" applyFill="1" applyBorder="1" applyAlignment="1">
      <alignment horizontal="right" vertical="center"/>
    </xf>
    <xf numFmtId="3" fontId="121" fillId="2" borderId="101" xfId="4" applyNumberFormat="1" applyFont="1" applyFill="1" applyBorder="1" applyAlignment="1">
      <alignment vertical="center" wrapText="1"/>
    </xf>
    <xf numFmtId="0" fontId="116" fillId="8" borderId="45" xfId="0" applyFont="1" applyFill="1" applyBorder="1" applyAlignment="1">
      <alignment vertical="center" wrapText="1"/>
    </xf>
    <xf numFmtId="3" fontId="116" fillId="6" borderId="30" xfId="4" applyNumberFormat="1" applyFont="1" applyFill="1" applyBorder="1" applyAlignment="1"/>
    <xf numFmtId="3" fontId="159" fillId="2" borderId="30" xfId="4" applyNumberFormat="1" applyFont="1" applyFill="1" applyBorder="1" applyAlignment="1">
      <alignment horizontal="right" vertical="center"/>
    </xf>
    <xf numFmtId="3" fontId="121" fillId="24" borderId="30" xfId="4" applyNumberFormat="1" applyFont="1" applyFill="1" applyBorder="1" applyAlignment="1">
      <alignment vertical="top"/>
    </xf>
    <xf numFmtId="3" fontId="159" fillId="0" borderId="63" xfId="4" applyNumberFormat="1" applyFont="1" applyFill="1" applyBorder="1" applyAlignment="1">
      <alignment horizontal="right" vertical="center"/>
    </xf>
    <xf numFmtId="0" fontId="120" fillId="6" borderId="84" xfId="4" applyFont="1" applyFill="1" applyBorder="1" applyAlignment="1">
      <alignment horizontal="left" vertical="center"/>
    </xf>
    <xf numFmtId="0" fontId="121" fillId="2" borderId="34" xfId="4" applyFont="1" applyFill="1" applyBorder="1" applyAlignment="1">
      <alignment vertical="top"/>
    </xf>
    <xf numFmtId="0" fontId="129" fillId="0" borderId="24" xfId="0" applyFont="1" applyBorder="1"/>
    <xf numFmtId="0" fontId="116" fillId="8" borderId="32" xfId="4" applyFont="1" applyFill="1" applyBorder="1" applyAlignment="1">
      <alignment horizontal="left" vertical="center" wrapText="1"/>
    </xf>
    <xf numFmtId="3" fontId="153" fillId="6" borderId="28" xfId="4" applyNumberFormat="1" applyFont="1" applyFill="1" applyBorder="1" applyAlignment="1">
      <alignment vertical="center"/>
    </xf>
    <xf numFmtId="3" fontId="116" fillId="6" borderId="98" xfId="4" applyNumberFormat="1" applyFont="1" applyFill="1" applyBorder="1" applyAlignment="1">
      <alignment vertical="center"/>
    </xf>
    <xf numFmtId="0" fontId="159" fillId="0" borderId="32" xfId="4" applyFont="1" applyFill="1" applyBorder="1" applyAlignment="1">
      <alignment vertical="top"/>
    </xf>
    <xf numFmtId="3" fontId="159" fillId="0" borderId="100" xfId="4" applyNumberFormat="1" applyFont="1" applyFill="1" applyBorder="1" applyAlignment="1">
      <alignment horizontal="right" vertical="center"/>
    </xf>
    <xf numFmtId="3" fontId="159" fillId="0" borderId="98" xfId="4" applyNumberFormat="1" applyFont="1" applyFill="1" applyBorder="1" applyAlignment="1">
      <alignment horizontal="right" vertical="center"/>
    </xf>
    <xf numFmtId="3" fontId="119" fillId="0" borderId="98" xfId="4" applyNumberFormat="1" applyFont="1" applyFill="1" applyBorder="1" applyAlignment="1">
      <alignment vertical="top"/>
    </xf>
    <xf numFmtId="0" fontId="119" fillId="33" borderId="32" xfId="4" applyFont="1" applyFill="1" applyBorder="1" applyAlignment="1">
      <alignment vertical="top"/>
    </xf>
    <xf numFmtId="0" fontId="159" fillId="0" borderId="32" xfId="4" applyFont="1" applyFill="1" applyBorder="1" applyAlignment="1">
      <alignment horizontal="left" vertical="center"/>
    </xf>
    <xf numFmtId="0" fontId="121" fillId="2" borderId="84" xfId="4" applyFont="1" applyFill="1" applyBorder="1" applyAlignment="1">
      <alignment vertical="top"/>
    </xf>
    <xf numFmtId="0" fontId="117" fillId="0" borderId="86" xfId="0" applyFont="1" applyFill="1" applyBorder="1" applyAlignment="1">
      <alignment horizontal="left" vertical="center" wrapText="1"/>
    </xf>
    <xf numFmtId="0" fontId="117" fillId="0" borderId="87" xfId="0" applyFont="1" applyFill="1" applyBorder="1" applyAlignment="1">
      <alignment horizontal="left" vertical="center" wrapText="1"/>
    </xf>
    <xf numFmtId="3" fontId="116" fillId="6" borderId="117" xfId="4" applyNumberFormat="1" applyFont="1" applyFill="1" applyBorder="1" applyAlignment="1">
      <alignment vertical="center"/>
    </xf>
    <xf numFmtId="3" fontId="159" fillId="0" borderId="117" xfId="4" applyNumberFormat="1" applyFont="1" applyFill="1" applyBorder="1" applyAlignment="1">
      <alignment horizontal="right" vertical="center"/>
    </xf>
    <xf numFmtId="0" fontId="119" fillId="0" borderId="32" xfId="4" applyFont="1" applyFill="1" applyBorder="1" applyAlignment="1">
      <alignment vertical="top" wrapText="1"/>
    </xf>
    <xf numFmtId="0" fontId="117" fillId="0" borderId="32" xfId="0" applyFont="1" applyFill="1" applyBorder="1" applyAlignment="1">
      <alignment horizontal="left" vertical="center" wrapText="1"/>
    </xf>
    <xf numFmtId="0" fontId="117" fillId="0" borderId="106" xfId="0" applyFont="1" applyFill="1" applyBorder="1" applyAlignment="1">
      <alignment horizontal="left" vertical="center" wrapText="1"/>
    </xf>
    <xf numFmtId="0" fontId="165" fillId="0" borderId="21" xfId="0" applyFont="1" applyBorder="1"/>
    <xf numFmtId="0" fontId="165" fillId="0" borderId="32" xfId="0" applyFont="1" applyBorder="1"/>
    <xf numFmtId="0" fontId="117" fillId="0" borderId="0" xfId="0" applyFont="1" applyFill="1" applyBorder="1" applyAlignment="1">
      <alignment horizontal="left" vertical="center" wrapText="1"/>
    </xf>
    <xf numFmtId="0" fontId="124" fillId="0" borderId="21" xfId="0" applyFont="1" applyBorder="1"/>
    <xf numFmtId="0" fontId="124" fillId="0" borderId="32" xfId="0" applyFont="1" applyBorder="1"/>
    <xf numFmtId="3" fontId="164" fillId="0" borderId="9" xfId="0" applyNumberFormat="1" applyFont="1" applyFill="1" applyBorder="1" applyAlignment="1">
      <alignment horizontal="right" vertical="center"/>
    </xf>
    <xf numFmtId="3" fontId="164" fillId="0" borderId="9" xfId="0" applyNumberFormat="1" applyFont="1" applyFill="1" applyBorder="1" applyAlignment="1">
      <alignment horizontal="right"/>
    </xf>
    <xf numFmtId="3" fontId="164" fillId="0" borderId="35" xfId="0" applyNumberFormat="1" applyFont="1" applyFill="1" applyBorder="1" applyAlignment="1">
      <alignment vertical="top"/>
    </xf>
    <xf numFmtId="3" fontId="117" fillId="0" borderId="98" xfId="0" applyNumberFormat="1" applyFont="1" applyFill="1" applyBorder="1" applyAlignment="1">
      <alignment vertical="center"/>
    </xf>
    <xf numFmtId="3" fontId="117" fillId="61" borderId="98" xfId="0" applyNumberFormat="1" applyFont="1" applyFill="1" applyBorder="1" applyAlignment="1">
      <alignment vertical="center"/>
    </xf>
    <xf numFmtId="0" fontId="165" fillId="63" borderId="21" xfId="0" applyFont="1" applyFill="1" applyBorder="1"/>
    <xf numFmtId="0" fontId="165" fillId="64" borderId="32" xfId="0" applyFont="1" applyFill="1" applyBorder="1"/>
    <xf numFmtId="0" fontId="165" fillId="58" borderId="32" xfId="0" applyFont="1" applyFill="1" applyBorder="1" applyAlignment="1">
      <alignment vertical="center"/>
    </xf>
    <xf numFmtId="0" fontId="134" fillId="65" borderId="0" xfId="0" applyFont="1" applyFill="1" applyBorder="1"/>
    <xf numFmtId="0" fontId="117" fillId="57" borderId="32" xfId="4" applyFont="1" applyFill="1" applyBorder="1" applyAlignment="1">
      <alignment horizontal="left" vertical="center"/>
    </xf>
    <xf numFmtId="0" fontId="134" fillId="65" borderId="84" xfId="0" applyFont="1" applyFill="1" applyBorder="1"/>
    <xf numFmtId="0" fontId="136" fillId="0" borderId="28" xfId="0" applyFont="1" applyFill="1" applyBorder="1" applyAlignment="1">
      <alignment vertical="center" wrapText="1"/>
    </xf>
    <xf numFmtId="0" fontId="121" fillId="2" borderId="101" xfId="4" applyFont="1" applyFill="1" applyBorder="1" applyAlignment="1">
      <alignment vertical="center"/>
    </xf>
    <xf numFmtId="0" fontId="117" fillId="0" borderId="106" xfId="4" applyFont="1" applyFill="1" applyBorder="1" applyAlignment="1">
      <alignment vertical="center"/>
    </xf>
    <xf numFmtId="3" fontId="166" fillId="58" borderId="9" xfId="0" applyNumberFormat="1" applyFont="1" applyFill="1" applyBorder="1" applyAlignment="1">
      <alignment vertical="center"/>
    </xf>
    <xf numFmtId="3" fontId="117" fillId="57" borderId="100" xfId="0" applyNumberFormat="1" applyFont="1" applyFill="1" applyBorder="1" applyAlignment="1">
      <alignment vertical="top"/>
    </xf>
    <xf numFmtId="3" fontId="117" fillId="57" borderId="9" xfId="0" applyNumberFormat="1" applyFont="1" applyFill="1" applyBorder="1" applyAlignment="1">
      <alignment vertical="top"/>
    </xf>
    <xf numFmtId="3" fontId="117" fillId="57" borderId="35" xfId="0" applyNumberFormat="1" applyFont="1" applyFill="1" applyBorder="1" applyAlignment="1">
      <alignment vertical="top"/>
    </xf>
    <xf numFmtId="3" fontId="164" fillId="63" borderId="9" xfId="0" applyNumberFormat="1" applyFont="1" applyFill="1" applyBorder="1" applyAlignment="1">
      <alignment horizontal="right" vertical="center"/>
    </xf>
    <xf numFmtId="3" fontId="164" fillId="58" borderId="9" xfId="0" applyNumberFormat="1" applyFont="1" applyFill="1" applyBorder="1" applyAlignment="1">
      <alignment horizontal="right"/>
    </xf>
    <xf numFmtId="3" fontId="164" fillId="58" borderId="9" xfId="0" applyNumberFormat="1" applyFont="1" applyFill="1" applyBorder="1" applyAlignment="1">
      <alignment horizontal="right" vertical="center"/>
    </xf>
    <xf numFmtId="3" fontId="164" fillId="57" borderId="9" xfId="0" applyNumberFormat="1" applyFont="1" applyFill="1" applyBorder="1" applyAlignment="1">
      <alignment horizontal="right"/>
    </xf>
    <xf numFmtId="3" fontId="164" fillId="57" borderId="9" xfId="0" applyNumberFormat="1" applyFont="1" applyFill="1" applyBorder="1" applyAlignment="1">
      <alignment horizontal="right" vertical="center"/>
    </xf>
    <xf numFmtId="3" fontId="164" fillId="57" borderId="100" xfId="0" applyNumberFormat="1" applyFont="1" applyFill="1" applyBorder="1" applyAlignment="1">
      <alignment vertical="top"/>
    </xf>
    <xf numFmtId="3" fontId="164" fillId="0" borderId="103" xfId="0" applyNumberFormat="1" applyFont="1" applyFill="1" applyBorder="1" applyAlignment="1">
      <alignment vertical="center"/>
    </xf>
    <xf numFmtId="0" fontId="153" fillId="8" borderId="14" xfId="4" applyFont="1" applyFill="1" applyBorder="1" applyAlignment="1">
      <alignment horizontal="center" vertical="center" wrapText="1"/>
    </xf>
    <xf numFmtId="3" fontId="165" fillId="8" borderId="17" xfId="6" applyNumberFormat="1" applyFont="1" applyFill="1" applyBorder="1" applyAlignment="1">
      <alignment vertical="center"/>
    </xf>
    <xf numFmtId="3" fontId="119" fillId="8" borderId="70" xfId="4" applyNumberFormat="1" applyFont="1" applyFill="1" applyBorder="1" applyAlignment="1">
      <alignment horizontal="right" vertical="center"/>
    </xf>
    <xf numFmtId="3" fontId="119" fillId="8" borderId="2" xfId="4" applyNumberFormat="1" applyFont="1" applyFill="1" applyBorder="1" applyAlignment="1">
      <alignment horizontal="right" vertical="center"/>
    </xf>
    <xf numFmtId="43" fontId="149" fillId="6" borderId="29" xfId="1" applyFont="1" applyFill="1" applyBorder="1" applyAlignment="1">
      <alignment horizontal="right" vertical="center"/>
    </xf>
    <xf numFmtId="3" fontId="158" fillId="2" borderId="32" xfId="4" applyNumberFormat="1" applyFont="1" applyFill="1" applyBorder="1" applyAlignment="1">
      <alignment vertical="center" wrapText="1"/>
    </xf>
    <xf numFmtId="43" fontId="150" fillId="0" borderId="29" xfId="1" applyFont="1" applyFill="1" applyBorder="1" applyAlignment="1">
      <alignment horizontal="right" vertical="center"/>
    </xf>
    <xf numFmtId="0" fontId="113" fillId="0" borderId="83" xfId="4" applyFont="1" applyFill="1" applyBorder="1" applyAlignment="1">
      <alignment vertical="top"/>
    </xf>
    <xf numFmtId="3" fontId="117" fillId="2" borderId="47" xfId="4" applyNumberFormat="1" applyFont="1" applyFill="1" applyBorder="1" applyAlignment="1">
      <alignment horizontal="right" vertical="center"/>
    </xf>
    <xf numFmtId="43" fontId="117" fillId="0" borderId="65" xfId="1" applyFont="1" applyFill="1" applyBorder="1" applyAlignment="1">
      <alignment horizontal="right" vertical="center"/>
    </xf>
    <xf numFmtId="3" fontId="116" fillId="8" borderId="4" xfId="4" applyNumberFormat="1" applyFont="1" applyFill="1" applyBorder="1" applyAlignment="1"/>
    <xf numFmtId="3" fontId="116" fillId="8" borderId="70" xfId="4" applyNumberFormat="1" applyFont="1" applyFill="1" applyBorder="1" applyAlignment="1">
      <alignment horizontal="right" vertical="center"/>
    </xf>
    <xf numFmtId="3" fontId="116" fillId="8" borderId="17" xfId="4" applyNumberFormat="1" applyFont="1" applyFill="1" applyBorder="1" applyAlignment="1">
      <alignment horizontal="right" vertical="center"/>
    </xf>
    <xf numFmtId="3" fontId="116" fillId="6" borderId="31" xfId="4" applyNumberFormat="1" applyFont="1" applyFill="1" applyBorder="1" applyAlignment="1">
      <alignment horizontal="right" vertical="center"/>
    </xf>
    <xf numFmtId="3" fontId="116" fillId="6" borderId="30" xfId="4" applyNumberFormat="1" applyFont="1" applyFill="1" applyBorder="1" applyAlignment="1">
      <alignment horizontal="right" vertical="center"/>
    </xf>
    <xf numFmtId="43" fontId="116" fillId="6" borderId="30" xfId="1" applyFont="1" applyFill="1" applyBorder="1" applyAlignment="1">
      <alignment horizontal="right" vertical="center"/>
    </xf>
    <xf numFmtId="3" fontId="159" fillId="0" borderId="30" xfId="4" applyNumberFormat="1" applyFont="1" applyFill="1" applyBorder="1" applyAlignment="1">
      <alignment horizontal="right" vertical="center"/>
    </xf>
    <xf numFmtId="43" fontId="159" fillId="0" borderId="30" xfId="1" applyFont="1" applyFill="1" applyBorder="1" applyAlignment="1">
      <alignment horizontal="right" vertical="center"/>
    </xf>
    <xf numFmtId="43" fontId="121" fillId="0" borderId="30" xfId="1" applyFont="1" applyFill="1" applyBorder="1" applyAlignment="1">
      <alignment horizontal="right" vertical="center"/>
    </xf>
    <xf numFmtId="0" fontId="119" fillId="0" borderId="34" xfId="4" applyFont="1" applyFill="1" applyBorder="1" applyAlignment="1">
      <alignment vertical="top"/>
    </xf>
    <xf numFmtId="0" fontId="119" fillId="0" borderId="36" xfId="4" applyFont="1" applyFill="1" applyBorder="1" applyAlignment="1">
      <alignment horizontal="left" vertical="center"/>
    </xf>
    <xf numFmtId="3" fontId="117" fillId="0" borderId="63" xfId="4" applyNumberFormat="1" applyFont="1" applyFill="1" applyBorder="1" applyAlignment="1">
      <alignment horizontal="right" vertical="center"/>
    </xf>
    <xf numFmtId="43" fontId="119" fillId="0" borderId="63" xfId="1" applyFont="1" applyFill="1" applyBorder="1" applyAlignment="1">
      <alignment horizontal="right" vertical="center"/>
    </xf>
    <xf numFmtId="3" fontId="119" fillId="0" borderId="0" xfId="4" applyNumberFormat="1" applyFont="1" applyFill="1" applyBorder="1" applyAlignment="1">
      <alignment horizontal="right" vertical="center"/>
    </xf>
    <xf numFmtId="3" fontId="117" fillId="26" borderId="0" xfId="4" applyNumberFormat="1" applyFont="1" applyFill="1" applyBorder="1" applyAlignment="1">
      <alignment horizontal="right" vertical="center"/>
    </xf>
    <xf numFmtId="43" fontId="150" fillId="0" borderId="30" xfId="1" applyFont="1" applyFill="1" applyBorder="1" applyAlignment="1">
      <alignment vertical="center"/>
    </xf>
    <xf numFmtId="3" fontId="117" fillId="0" borderId="98" xfId="4" applyNumberFormat="1" applyFont="1" applyFill="1" applyBorder="1" applyAlignment="1"/>
    <xf numFmtId="3" fontId="116" fillId="6" borderId="9" xfId="4" applyNumberFormat="1" applyFont="1" applyFill="1" applyBorder="1" applyAlignment="1"/>
    <xf numFmtId="43" fontId="116" fillId="6" borderId="9" xfId="1" applyFont="1" applyFill="1" applyBorder="1" applyAlignment="1"/>
    <xf numFmtId="3" fontId="150" fillId="0" borderId="9" xfId="6" applyNumberFormat="1" applyFont="1" applyFill="1" applyBorder="1" applyAlignment="1">
      <alignment vertical="center"/>
    </xf>
    <xf numFmtId="43" fontId="150" fillId="0" borderId="9" xfId="1" applyFont="1" applyFill="1" applyBorder="1" applyAlignment="1">
      <alignment vertical="center"/>
    </xf>
    <xf numFmtId="3" fontId="124" fillId="0" borderId="30" xfId="6" applyNumberFormat="1" applyFont="1" applyFill="1" applyBorder="1" applyAlignment="1">
      <alignment vertical="center"/>
    </xf>
    <xf numFmtId="43" fontId="124" fillId="0" borderId="30" xfId="1" applyFont="1" applyFill="1" applyBorder="1" applyAlignment="1">
      <alignment vertical="center"/>
    </xf>
    <xf numFmtId="0" fontId="119" fillId="0" borderId="83" xfId="4" applyFont="1" applyFill="1" applyBorder="1" applyAlignment="1">
      <alignment vertical="center"/>
    </xf>
    <xf numFmtId="43" fontId="119" fillId="0" borderId="74" xfId="1" applyFont="1" applyFill="1" applyBorder="1" applyAlignment="1">
      <alignment horizontal="right" vertical="center"/>
    </xf>
    <xf numFmtId="3" fontId="119" fillId="0" borderId="74" xfId="4" applyNumberFormat="1" applyFont="1" applyFill="1" applyBorder="1" applyAlignment="1">
      <alignment horizontal="right" vertical="center"/>
    </xf>
    <xf numFmtId="3" fontId="167" fillId="8" borderId="3" xfId="6" applyNumberFormat="1" applyFont="1" applyFill="1" applyBorder="1" applyAlignment="1">
      <alignment horizontal="right" vertical="center"/>
    </xf>
    <xf numFmtId="3" fontId="153" fillId="8" borderId="70" xfId="4" applyNumberFormat="1" applyFont="1" applyFill="1" applyBorder="1" applyAlignment="1">
      <alignment horizontal="right" vertical="center"/>
    </xf>
    <xf numFmtId="3" fontId="153" fillId="8" borderId="17" xfId="4" applyNumberFormat="1" applyFont="1" applyFill="1" applyBorder="1" applyAlignment="1">
      <alignment horizontal="right" vertical="center"/>
    </xf>
    <xf numFmtId="3" fontId="153" fillId="8" borderId="2" xfId="4" applyNumberFormat="1" applyFont="1" applyFill="1" applyBorder="1" applyAlignment="1">
      <alignment horizontal="right" vertical="center"/>
    </xf>
    <xf numFmtId="3" fontId="153" fillId="8" borderId="79" xfId="4" applyNumberFormat="1" applyFont="1" applyFill="1" applyBorder="1" applyAlignment="1">
      <alignment horizontal="right" vertical="center"/>
    </xf>
    <xf numFmtId="0" fontId="113" fillId="0" borderId="32" xfId="4" applyFont="1" applyFill="1" applyBorder="1" applyAlignment="1">
      <alignment horizontal="left" vertical="center"/>
    </xf>
    <xf numFmtId="3" fontId="117" fillId="0" borderId="29" xfId="4" applyNumberFormat="1" applyFont="1" applyFill="1" applyBorder="1" applyAlignment="1">
      <alignment horizontal="right" vertical="center"/>
    </xf>
    <xf numFmtId="3" fontId="117" fillId="2" borderId="29" xfId="4" applyNumberFormat="1" applyFont="1" applyFill="1" applyBorder="1" applyAlignment="1">
      <alignment horizontal="right" vertical="center"/>
    </xf>
    <xf numFmtId="0" fontId="113" fillId="0" borderId="21" xfId="4" applyFont="1" applyFill="1" applyBorder="1" applyAlignment="1">
      <alignment horizontal="left" vertical="center"/>
    </xf>
    <xf numFmtId="3" fontId="119" fillId="0" borderId="35" xfId="4" applyNumberFormat="1" applyFont="1" applyFill="1" applyBorder="1" applyAlignment="1">
      <alignment horizontal="right" vertical="center"/>
    </xf>
    <xf numFmtId="3" fontId="117" fillId="2" borderId="9" xfId="4" applyNumberFormat="1" applyFont="1" applyFill="1" applyBorder="1" applyAlignment="1">
      <alignment horizontal="right" vertical="center"/>
    </xf>
    <xf numFmtId="3" fontId="113" fillId="0" borderId="46" xfId="4" applyNumberFormat="1" applyFont="1" applyFill="1" applyBorder="1" applyAlignment="1">
      <alignment horizontal="center" vertical="center" wrapText="1"/>
    </xf>
    <xf numFmtId="3" fontId="119" fillId="0" borderId="12" xfId="4" applyNumberFormat="1" applyFont="1" applyFill="1" applyBorder="1" applyAlignment="1">
      <alignment horizontal="right" vertical="center"/>
    </xf>
    <xf numFmtId="3" fontId="117" fillId="0" borderId="23" xfId="4" applyNumberFormat="1" applyFont="1" applyFill="1" applyBorder="1" applyAlignment="1">
      <alignment horizontal="right" vertical="center"/>
    </xf>
    <xf numFmtId="3" fontId="117" fillId="2" borderId="23" xfId="4" applyNumberFormat="1" applyFont="1" applyFill="1" applyBorder="1" applyAlignment="1">
      <alignment horizontal="right" vertical="center"/>
    </xf>
    <xf numFmtId="3" fontId="150" fillId="8" borderId="3" xfId="6" applyNumberFormat="1" applyFont="1" applyFill="1" applyBorder="1" applyAlignment="1">
      <alignment horizontal="right" vertical="center"/>
    </xf>
    <xf numFmtId="0" fontId="122" fillId="0" borderId="77" xfId="4" applyFont="1" applyFill="1" applyBorder="1" applyAlignment="1">
      <alignment horizontal="left" vertical="center"/>
    </xf>
    <xf numFmtId="3" fontId="117" fillId="0" borderId="76" xfId="4" applyNumberFormat="1" applyFont="1" applyFill="1" applyBorder="1" applyAlignment="1">
      <alignment horizontal="right" vertical="center"/>
    </xf>
    <xf numFmtId="3" fontId="117" fillId="2" borderId="72" xfId="4" applyNumberFormat="1" applyFont="1" applyFill="1" applyBorder="1" applyAlignment="1">
      <alignment horizontal="right" vertical="center"/>
    </xf>
    <xf numFmtId="43" fontId="117" fillId="0" borderId="72" xfId="1" applyFont="1" applyFill="1" applyBorder="1" applyAlignment="1">
      <alignment horizontal="right" vertical="center"/>
    </xf>
    <xf numFmtId="43" fontId="117" fillId="0" borderId="29" xfId="1" applyFont="1" applyFill="1" applyBorder="1" applyAlignment="1">
      <alignment horizontal="right" vertical="center"/>
    </xf>
    <xf numFmtId="3" fontId="117" fillId="0" borderId="31" xfId="4" applyNumberFormat="1" applyFont="1" applyFill="1" applyBorder="1" applyAlignment="1">
      <alignment horizontal="right" vertical="center"/>
    </xf>
    <xf numFmtId="0" fontId="119" fillId="0" borderId="21" xfId="0" applyFont="1" applyFill="1" applyBorder="1" applyAlignment="1">
      <alignment horizontal="left" vertical="center"/>
    </xf>
    <xf numFmtId="3" fontId="150" fillId="0" borderId="71" xfId="6" applyNumberFormat="1" applyFont="1" applyFill="1" applyBorder="1" applyAlignment="1">
      <alignment vertical="center"/>
    </xf>
    <xf numFmtId="43" fontId="159" fillId="0" borderId="71" xfId="1" applyFont="1" applyFill="1" applyBorder="1" applyAlignment="1">
      <alignment horizontal="right" vertical="center"/>
    </xf>
    <xf numFmtId="43" fontId="121" fillId="0" borderId="71" xfId="1" applyFont="1" applyFill="1" applyBorder="1" applyAlignment="1">
      <alignment horizontal="right" vertical="center"/>
    </xf>
    <xf numFmtId="3" fontId="121" fillId="0" borderId="71" xfId="4" applyNumberFormat="1" applyFont="1" applyFill="1" applyBorder="1" applyAlignment="1">
      <alignment horizontal="right" vertical="center"/>
    </xf>
    <xf numFmtId="43" fontId="117" fillId="0" borderId="75" xfId="1" applyFont="1" applyFill="1" applyBorder="1" applyAlignment="1">
      <alignment horizontal="right" vertical="center"/>
    </xf>
    <xf numFmtId="3" fontId="117" fillId="0" borderId="75" xfId="4" applyNumberFormat="1" applyFont="1" applyFill="1" applyBorder="1" applyAlignment="1">
      <alignment horizontal="right" vertical="center"/>
    </xf>
    <xf numFmtId="0" fontId="116" fillId="8" borderId="45" xfId="4" applyFont="1" applyFill="1" applyBorder="1" applyAlignment="1">
      <alignment vertical="top" wrapText="1"/>
    </xf>
    <xf numFmtId="0" fontId="116" fillId="6" borderId="34" xfId="4" applyFont="1" applyFill="1" applyBorder="1" applyAlignment="1">
      <alignment horizontal="left" vertical="center"/>
    </xf>
    <xf numFmtId="3" fontId="159" fillId="2" borderId="34" xfId="4" applyNumberFormat="1" applyFont="1" applyFill="1" applyBorder="1" applyAlignment="1">
      <alignment vertical="top" wrapText="1"/>
    </xf>
    <xf numFmtId="0" fontId="116" fillId="8" borderId="19" xfId="4" applyFont="1" applyFill="1" applyBorder="1" applyAlignment="1">
      <alignment vertical="center" wrapText="1"/>
    </xf>
    <xf numFmtId="3" fontId="117" fillId="0" borderId="29" xfId="4" applyNumberFormat="1" applyFont="1" applyFill="1" applyBorder="1" applyAlignment="1">
      <alignment vertical="center"/>
    </xf>
    <xf numFmtId="0" fontId="117" fillId="0" borderId="21" xfId="4" applyFont="1" applyFill="1" applyBorder="1" applyAlignment="1">
      <alignment horizontal="left" vertical="center"/>
    </xf>
    <xf numFmtId="0" fontId="120" fillId="8" borderId="19" xfId="4" applyFont="1" applyFill="1" applyBorder="1" applyAlignment="1">
      <alignment vertical="top" wrapText="1"/>
    </xf>
    <xf numFmtId="3" fontId="119" fillId="2" borderId="74" xfId="4" applyNumberFormat="1" applyFont="1" applyFill="1" applyBorder="1" applyAlignment="1"/>
    <xf numFmtId="0" fontId="116" fillId="8" borderId="14" xfId="4" applyFont="1" applyFill="1" applyBorder="1" applyAlignment="1">
      <alignment horizontal="center" vertical="top" wrapText="1"/>
    </xf>
    <xf numFmtId="3" fontId="159" fillId="0" borderId="29" xfId="4" applyNumberFormat="1" applyFont="1" applyFill="1" applyBorder="1" applyAlignment="1"/>
    <xf numFmtId="3" fontId="119" fillId="0" borderId="29" xfId="4" applyNumberFormat="1" applyFont="1" applyFill="1" applyBorder="1" applyAlignment="1"/>
    <xf numFmtId="3" fontId="119" fillId="0" borderId="30" xfId="4" applyNumberFormat="1" applyFont="1" applyFill="1" applyBorder="1" applyAlignment="1">
      <alignment horizontal="right"/>
    </xf>
    <xf numFmtId="3" fontId="119" fillId="0" borderId="29" xfId="4" applyNumberFormat="1" applyFont="1" applyFill="1" applyBorder="1" applyAlignment="1">
      <alignment horizontal="right"/>
    </xf>
    <xf numFmtId="3" fontId="119" fillId="0" borderId="12" xfId="4" applyNumberFormat="1" applyFont="1" applyFill="1" applyBorder="1" applyAlignment="1">
      <alignment horizontal="right"/>
    </xf>
    <xf numFmtId="3" fontId="124" fillId="0" borderId="65" xfId="6" applyNumberFormat="1" applyFont="1" applyFill="1" applyBorder="1" applyAlignment="1">
      <alignment vertical="center"/>
    </xf>
    <xf numFmtId="0" fontId="159" fillId="2" borderId="32" xfId="4" applyFont="1" applyFill="1" applyBorder="1" applyAlignment="1">
      <alignment vertical="top"/>
    </xf>
    <xf numFmtId="0" fontId="119" fillId="0" borderId="77" xfId="4" applyFont="1" applyFill="1" applyBorder="1" applyAlignment="1">
      <alignment vertical="top"/>
    </xf>
    <xf numFmtId="3" fontId="124" fillId="0" borderId="47" xfId="6" applyNumberFormat="1" applyFont="1" applyFill="1" applyBorder="1" applyAlignment="1">
      <alignment vertical="center"/>
    </xf>
    <xf numFmtId="0" fontId="116" fillId="6" borderId="21" xfId="4" applyFont="1" applyFill="1" applyBorder="1" applyAlignment="1">
      <alignment horizontal="left" vertical="center"/>
    </xf>
    <xf numFmtId="3" fontId="120" fillId="6" borderId="30" xfId="4" applyNumberFormat="1" applyFont="1" applyFill="1" applyBorder="1" applyAlignment="1"/>
    <xf numFmtId="3" fontId="121" fillId="0" borderId="27" xfId="4" applyNumberFormat="1" applyFont="1" applyFill="1" applyBorder="1" applyAlignment="1"/>
    <xf numFmtId="3" fontId="119" fillId="0" borderId="116" xfId="4" applyNumberFormat="1" applyFont="1" applyFill="1" applyBorder="1" applyAlignment="1">
      <alignment horizontal="right" vertical="center"/>
    </xf>
    <xf numFmtId="0" fontId="152" fillId="0" borderId="0" xfId="0" applyFont="1" applyAlignment="1">
      <alignment vertical="center"/>
    </xf>
    <xf numFmtId="3" fontId="116" fillId="8" borderId="79" xfId="4" applyNumberFormat="1" applyFont="1" applyFill="1" applyBorder="1" applyAlignment="1">
      <alignment horizontal="right" vertical="center"/>
    </xf>
    <xf numFmtId="43" fontId="116" fillId="6" borderId="30" xfId="1" applyFont="1" applyFill="1" applyBorder="1" applyAlignment="1"/>
    <xf numFmtId="3" fontId="159" fillId="2" borderId="31" xfId="4" applyNumberFormat="1" applyFont="1" applyFill="1" applyBorder="1" applyAlignment="1">
      <alignment vertical="top" wrapText="1"/>
    </xf>
    <xf numFmtId="43" fontId="119" fillId="0" borderId="10" xfId="1" applyFont="1" applyFill="1" applyBorder="1" applyAlignment="1">
      <alignment horizontal="right" vertical="center"/>
    </xf>
    <xf numFmtId="3" fontId="117" fillId="0" borderId="98" xfId="4" applyNumberFormat="1" applyFont="1" applyFill="1" applyBorder="1" applyAlignment="1">
      <alignment horizontal="right" vertical="center"/>
    </xf>
    <xf numFmtId="43" fontId="117" fillId="0" borderId="100" xfId="1" applyFont="1" applyFill="1" applyBorder="1" applyAlignment="1"/>
    <xf numFmtId="43" fontId="117" fillId="0" borderId="10" xfId="1" applyFont="1" applyFill="1" applyBorder="1" applyAlignment="1">
      <alignment horizontal="right" vertical="center"/>
    </xf>
    <xf numFmtId="0" fontId="159" fillId="2" borderId="31" xfId="4" applyFont="1" applyFill="1" applyBorder="1" applyAlignment="1">
      <alignment vertical="top"/>
    </xf>
    <xf numFmtId="0" fontId="119" fillId="0" borderId="84" xfId="4" applyFont="1" applyFill="1" applyBorder="1" applyAlignment="1">
      <alignment vertical="top"/>
    </xf>
    <xf numFmtId="3" fontId="117" fillId="0" borderId="98" xfId="4" applyNumberFormat="1" applyFont="1" applyFill="1" applyBorder="1" applyAlignment="1">
      <alignment vertical="center"/>
    </xf>
    <xf numFmtId="0" fontId="116" fillId="6" borderId="36" xfId="4" applyFont="1" applyFill="1" applyBorder="1" applyAlignment="1">
      <alignment horizontal="left" vertical="center"/>
    </xf>
    <xf numFmtId="0" fontId="120" fillId="33" borderId="6" xfId="4" applyFont="1" applyFill="1" applyBorder="1" applyAlignment="1">
      <alignment horizontal="left" vertical="center"/>
    </xf>
    <xf numFmtId="3" fontId="116" fillId="33" borderId="9" xfId="4" applyNumberFormat="1" applyFont="1" applyFill="1" applyBorder="1" applyAlignment="1"/>
    <xf numFmtId="43" fontId="116" fillId="33" borderId="9" xfId="1" applyFont="1" applyFill="1" applyBorder="1" applyAlignment="1"/>
    <xf numFmtId="3" fontId="117" fillId="33" borderId="9" xfId="4" applyNumberFormat="1" applyFont="1" applyFill="1" applyBorder="1" applyAlignment="1"/>
    <xf numFmtId="0" fontId="159" fillId="2" borderId="34" xfId="4" applyFont="1" applyFill="1" applyBorder="1" applyAlignment="1">
      <alignment vertical="top"/>
    </xf>
    <xf numFmtId="43" fontId="119" fillId="0" borderId="12" xfId="1" applyFont="1" applyFill="1" applyBorder="1" applyAlignment="1">
      <alignment horizontal="right" vertical="center"/>
    </xf>
    <xf numFmtId="3" fontId="120" fillId="8" borderId="17" xfId="4" applyNumberFormat="1" applyFont="1" applyFill="1" applyBorder="1" applyAlignment="1"/>
    <xf numFmtId="3" fontId="120" fillId="6" borderId="29" xfId="4" applyNumberFormat="1" applyFont="1" applyFill="1" applyBorder="1" applyAlignment="1"/>
    <xf numFmtId="3" fontId="120" fillId="6" borderId="9" xfId="4" applyNumberFormat="1" applyFont="1" applyFill="1" applyBorder="1" applyAlignment="1"/>
    <xf numFmtId="43" fontId="120" fillId="6" borderId="9" xfId="1" applyFont="1" applyFill="1" applyBorder="1" applyAlignment="1"/>
    <xf numFmtId="43" fontId="120" fillId="6" borderId="30" xfId="1" applyFont="1" applyFill="1" applyBorder="1" applyAlignment="1"/>
    <xf numFmtId="43" fontId="121" fillId="0" borderId="27" xfId="1" applyFont="1" applyFill="1" applyBorder="1" applyAlignment="1"/>
    <xf numFmtId="3" fontId="117" fillId="0" borderId="110" xfId="4" applyNumberFormat="1" applyFont="1" applyFill="1" applyBorder="1" applyAlignment="1">
      <alignment horizontal="right" vertical="center"/>
    </xf>
    <xf numFmtId="3" fontId="119" fillId="0" borderId="110" xfId="4" applyNumberFormat="1" applyFont="1" applyFill="1" applyBorder="1" applyAlignment="1">
      <alignment horizontal="right" vertical="center"/>
    </xf>
    <xf numFmtId="43" fontId="117" fillId="0" borderId="116" xfId="1" applyFont="1" applyFill="1" applyBorder="1" applyAlignment="1">
      <alignment horizontal="right" vertical="center"/>
    </xf>
    <xf numFmtId="43" fontId="119" fillId="0" borderId="116" xfId="1" applyFont="1" applyFill="1" applyBorder="1" applyAlignment="1">
      <alignment horizontal="right" vertical="center"/>
    </xf>
    <xf numFmtId="43" fontId="119" fillId="0" borderId="65" xfId="1" applyFont="1" applyFill="1" applyBorder="1" applyAlignment="1">
      <alignment horizontal="right" vertical="center"/>
    </xf>
    <xf numFmtId="3" fontId="116" fillId="27" borderId="62" xfId="4" applyNumberFormat="1" applyFont="1" applyFill="1" applyBorder="1" applyAlignment="1">
      <alignment horizontal="center" vertical="center"/>
    </xf>
    <xf numFmtId="3" fontId="116" fillId="27" borderId="10" xfId="4" applyNumberFormat="1" applyFont="1" applyFill="1" applyBorder="1" applyAlignment="1">
      <alignment horizontal="center" vertical="center"/>
    </xf>
    <xf numFmtId="0" fontId="119" fillId="2" borderId="21" xfId="4" applyFont="1" applyFill="1" applyBorder="1" applyAlignment="1">
      <alignment vertical="center"/>
    </xf>
    <xf numFmtId="3" fontId="117" fillId="0" borderId="65" xfId="4" applyNumberFormat="1" applyFont="1" applyFill="1" applyBorder="1" applyAlignment="1">
      <alignment vertical="center"/>
    </xf>
    <xf numFmtId="3" fontId="124" fillId="0" borderId="9" xfId="6" applyNumberFormat="1" applyFont="1" applyFill="1" applyBorder="1" applyAlignment="1">
      <alignment vertical="center"/>
    </xf>
    <xf numFmtId="3" fontId="124" fillId="0" borderId="10" xfId="6" applyNumberFormat="1" applyFont="1" applyFill="1" applyBorder="1" applyAlignment="1">
      <alignment vertical="center"/>
    </xf>
    <xf numFmtId="43" fontId="119" fillId="0" borderId="47" xfId="1" applyFont="1" applyFill="1" applyBorder="1" applyAlignment="1">
      <alignment horizontal="right" vertical="center"/>
    </xf>
    <xf numFmtId="3" fontId="116" fillId="27" borderId="74" xfId="4" applyNumberFormat="1" applyFont="1" applyFill="1" applyBorder="1" applyAlignment="1">
      <alignment horizontal="center" vertical="center"/>
    </xf>
    <xf numFmtId="3" fontId="119" fillId="0" borderId="109" xfId="4" applyNumberFormat="1" applyFont="1" applyFill="1" applyBorder="1" applyAlignment="1">
      <alignment horizontal="right" vertical="center"/>
    </xf>
    <xf numFmtId="0" fontId="124" fillId="0" borderId="117" xfId="0" applyFont="1" applyBorder="1"/>
    <xf numFmtId="0" fontId="116" fillId="8" borderId="115" xfId="4" applyFont="1" applyFill="1" applyBorder="1" applyAlignment="1">
      <alignment horizontal="left" vertical="center" wrapText="1"/>
    </xf>
    <xf numFmtId="0" fontId="129" fillId="0" borderId="11" xfId="0" applyFont="1" applyBorder="1" applyAlignment="1">
      <alignment horizontal="center" vertical="center"/>
    </xf>
    <xf numFmtId="3" fontId="159" fillId="0" borderId="111" xfId="4" applyNumberFormat="1" applyFont="1" applyFill="1" applyBorder="1" applyAlignment="1">
      <alignment horizontal="right" vertical="center"/>
    </xf>
    <xf numFmtId="3" fontId="117" fillId="0" borderId="111" xfId="0" applyNumberFormat="1" applyFont="1" applyFill="1" applyBorder="1" applyAlignment="1">
      <alignment horizontal="right" vertical="center"/>
    </xf>
    <xf numFmtId="3" fontId="117" fillId="0" borderId="111" xfId="0" applyNumberFormat="1" applyFont="1" applyFill="1" applyBorder="1" applyAlignment="1">
      <alignment vertical="top"/>
    </xf>
    <xf numFmtId="3" fontId="116" fillId="6" borderId="111" xfId="4" applyNumberFormat="1" applyFont="1" applyFill="1" applyBorder="1" applyAlignment="1">
      <alignment vertical="center"/>
    </xf>
    <xf numFmtId="3" fontId="116" fillId="8" borderId="3" xfId="4" applyNumberFormat="1" applyFont="1" applyFill="1" applyBorder="1" applyAlignment="1">
      <alignment horizontal="right" vertical="center"/>
    </xf>
    <xf numFmtId="3" fontId="116" fillId="24" borderId="3" xfId="4" applyNumberFormat="1" applyFont="1" applyFill="1" applyBorder="1" applyAlignment="1">
      <alignment horizontal="right" vertical="center"/>
    </xf>
    <xf numFmtId="0" fontId="129" fillId="0" borderId="0" xfId="0" applyFont="1" applyAlignment="1"/>
    <xf numFmtId="3" fontId="119" fillId="0" borderId="72" xfId="4" applyNumberFormat="1" applyFont="1" applyFill="1" applyBorder="1" applyAlignment="1">
      <alignment horizontal="right"/>
    </xf>
    <xf numFmtId="3" fontId="119" fillId="0" borderId="47" xfId="4" applyNumberFormat="1" applyFont="1" applyFill="1" applyBorder="1" applyAlignment="1">
      <alignment horizontal="right"/>
    </xf>
    <xf numFmtId="3" fontId="117" fillId="0" borderId="47" xfId="4" applyNumberFormat="1" applyFont="1" applyFill="1" applyBorder="1" applyAlignment="1">
      <alignment horizontal="right"/>
    </xf>
    <xf numFmtId="3" fontId="117" fillId="0" borderId="72" xfId="4" applyNumberFormat="1" applyFont="1" applyFill="1" applyBorder="1" applyAlignment="1">
      <alignment horizontal="right"/>
    </xf>
    <xf numFmtId="0" fontId="83" fillId="2" borderId="24" xfId="0" applyFont="1" applyFill="1" applyBorder="1" applyAlignment="1"/>
    <xf numFmtId="0" fontId="108" fillId="2" borderId="24" xfId="0" applyFont="1" applyFill="1" applyBorder="1" applyAlignment="1"/>
    <xf numFmtId="0" fontId="108" fillId="2" borderId="0" xfId="0" applyFont="1" applyFill="1" applyBorder="1" applyAlignment="1">
      <alignment vertical="top"/>
    </xf>
    <xf numFmtId="3" fontId="108" fillId="2" borderId="0" xfId="0" applyNumberFormat="1" applyFont="1" applyFill="1" applyBorder="1" applyAlignment="1">
      <alignment horizontal="left" vertical="top"/>
    </xf>
    <xf numFmtId="3" fontId="108" fillId="2" borderId="0" xfId="0" applyNumberFormat="1" applyFont="1" applyFill="1" applyBorder="1" applyAlignment="1">
      <alignment vertical="top"/>
    </xf>
    <xf numFmtId="0" fontId="51" fillId="2" borderId="1" xfId="0" applyFont="1" applyFill="1" applyBorder="1" applyAlignment="1">
      <alignment horizontal="center" vertical="top"/>
    </xf>
    <xf numFmtId="0" fontId="51" fillId="2" borderId="26" xfId="0" applyFont="1" applyFill="1" applyBorder="1" applyAlignment="1">
      <alignment horizontal="center" vertical="top"/>
    </xf>
    <xf numFmtId="0" fontId="52" fillId="0" borderId="88" xfId="0" applyFont="1" applyBorder="1" applyAlignment="1">
      <alignment horizontal="center" vertical="top"/>
    </xf>
    <xf numFmtId="0" fontId="52" fillId="0" borderId="79" xfId="0" applyFont="1" applyBorder="1" applyAlignment="1">
      <alignment horizontal="center" vertical="top"/>
    </xf>
    <xf numFmtId="0" fontId="52" fillId="0" borderId="15" xfId="0" quotePrefix="1" applyFont="1" applyBorder="1" applyAlignment="1">
      <alignment horizontal="center" vertical="top"/>
    </xf>
    <xf numFmtId="0" fontId="52" fillId="0" borderId="70" xfId="0" quotePrefix="1" applyFont="1" applyBorder="1" applyAlignment="1">
      <alignment horizontal="center" vertical="top"/>
    </xf>
    <xf numFmtId="0" fontId="52" fillId="2" borderId="70" xfId="0" applyFont="1" applyFill="1" applyBorder="1" applyAlignment="1">
      <alignment horizontal="center" vertical="top"/>
    </xf>
    <xf numFmtId="0" fontId="52" fillId="2" borderId="70" xfId="0" quotePrefix="1" applyFont="1" applyFill="1" applyBorder="1" applyAlignment="1">
      <alignment horizontal="center" vertical="top"/>
    </xf>
    <xf numFmtId="0" fontId="52" fillId="2" borderId="79" xfId="0" quotePrefix="1" applyFont="1" applyFill="1" applyBorder="1" applyAlignment="1">
      <alignment horizontal="center" vertical="top"/>
    </xf>
    <xf numFmtId="0" fontId="52" fillId="27" borderId="79" xfId="0" quotePrefix="1" applyFont="1" applyFill="1" applyBorder="1" applyAlignment="1">
      <alignment horizontal="center" vertical="top"/>
    </xf>
    <xf numFmtId="0" fontId="52" fillId="2" borderId="44" xfId="0" quotePrefix="1" applyFont="1" applyFill="1" applyBorder="1" applyAlignment="1">
      <alignment horizontal="center" vertical="top"/>
    </xf>
    <xf numFmtId="0" fontId="51" fillId="2" borderId="6" xfId="0" applyFont="1" applyFill="1" applyBorder="1" applyAlignment="1">
      <alignment vertical="top"/>
    </xf>
    <xf numFmtId="0" fontId="58" fillId="57" borderId="109" xfId="4" applyFont="1" applyFill="1" applyBorder="1" applyAlignment="1">
      <alignment horizontal="left" vertical="center"/>
    </xf>
    <xf numFmtId="0" fontId="58" fillId="57" borderId="98" xfId="4" applyFont="1" applyFill="1" applyBorder="1" applyAlignment="1">
      <alignment horizontal="left" vertical="center"/>
    </xf>
    <xf numFmtId="0" fontId="52" fillId="8" borderId="43" xfId="0" quotePrefix="1" applyFont="1" applyFill="1" applyBorder="1" applyAlignment="1">
      <alignment horizontal="center" vertical="top"/>
    </xf>
    <xf numFmtId="0" fontId="58" fillId="57" borderId="10" xfId="4" applyFont="1" applyFill="1" applyBorder="1" applyAlignment="1">
      <alignment horizontal="left" vertical="center"/>
    </xf>
    <xf numFmtId="0" fontId="58" fillId="57" borderId="13" xfId="4" applyFont="1" applyFill="1" applyBorder="1" applyAlignment="1">
      <alignment horizontal="left" vertical="center"/>
    </xf>
    <xf numFmtId="0" fontId="58" fillId="57" borderId="74" xfId="0" applyFont="1" applyFill="1" applyBorder="1" applyAlignment="1">
      <alignment horizontal="left" vertical="top"/>
    </xf>
    <xf numFmtId="0" fontId="59" fillId="57" borderId="12" xfId="0" quotePrefix="1" applyFont="1" applyFill="1" applyBorder="1" applyAlignment="1">
      <alignment horizontal="center" vertical="top"/>
    </xf>
    <xf numFmtId="0" fontId="56" fillId="6" borderId="35" xfId="4" applyFont="1" applyFill="1" applyBorder="1" applyAlignment="1">
      <alignment horizontal="left" vertical="center"/>
    </xf>
    <xf numFmtId="0" fontId="58" fillId="8" borderId="98" xfId="4" applyFont="1" applyFill="1" applyBorder="1" applyAlignment="1">
      <alignment vertical="center"/>
    </xf>
    <xf numFmtId="3" fontId="58" fillId="8" borderId="98" xfId="0" applyNumberFormat="1" applyFont="1" applyFill="1" applyBorder="1" applyAlignment="1">
      <alignment vertical="top"/>
    </xf>
    <xf numFmtId="3" fontId="58" fillId="24" borderId="98" xfId="0" applyNumberFormat="1" applyFont="1" applyFill="1" applyBorder="1" applyAlignment="1">
      <alignment vertical="top"/>
    </xf>
    <xf numFmtId="0" fontId="62" fillId="8" borderId="98" xfId="0" applyFont="1" applyFill="1" applyBorder="1" applyAlignment="1">
      <alignment vertical="top"/>
    </xf>
    <xf numFmtId="3" fontId="59" fillId="8" borderId="98" xfId="0" applyNumberFormat="1" applyFont="1" applyFill="1" applyBorder="1" applyAlignment="1">
      <alignment vertical="top"/>
    </xf>
    <xf numFmtId="3" fontId="59" fillId="24" borderId="98" xfId="0" applyNumberFormat="1" applyFont="1" applyFill="1" applyBorder="1" applyAlignment="1">
      <alignment horizontal="center" vertical="top"/>
    </xf>
    <xf numFmtId="3" fontId="62" fillId="8" borderId="98" xfId="0" applyNumberFormat="1" applyFont="1" applyFill="1" applyBorder="1" applyAlignment="1">
      <alignment vertical="top"/>
    </xf>
    <xf numFmtId="3" fontId="62" fillId="24" borderId="98" xfId="0" applyNumberFormat="1" applyFont="1" applyFill="1" applyBorder="1" applyAlignment="1">
      <alignment vertical="top"/>
    </xf>
    <xf numFmtId="3" fontId="58" fillId="24" borderId="98" xfId="0" applyNumberFormat="1" applyFont="1" applyFill="1" applyBorder="1" applyAlignment="1">
      <alignment horizontal="center" vertical="top"/>
    </xf>
    <xf numFmtId="0" fontId="62" fillId="8" borderId="98" xfId="4" applyFont="1" applyFill="1" applyBorder="1" applyAlignment="1">
      <alignment vertical="center"/>
    </xf>
    <xf numFmtId="3" fontId="62" fillId="24" borderId="98" xfId="0" applyNumberFormat="1" applyFont="1" applyFill="1" applyBorder="1" applyAlignment="1">
      <alignment horizontal="center" vertical="top"/>
    </xf>
    <xf numFmtId="0" fontId="56" fillId="6" borderId="98" xfId="4" applyFont="1" applyFill="1" applyBorder="1" applyAlignment="1">
      <alignment horizontal="left" vertical="center"/>
    </xf>
    <xf numFmtId="0" fontId="58" fillId="8" borderId="35" xfId="4" applyFont="1" applyFill="1" applyBorder="1" applyAlignment="1">
      <alignment vertical="center"/>
    </xf>
    <xf numFmtId="3" fontId="58" fillId="8" borderId="35" xfId="0" applyNumberFormat="1" applyFont="1" applyFill="1" applyBorder="1" applyAlignment="1">
      <alignment vertical="top"/>
    </xf>
    <xf numFmtId="0" fontId="51" fillId="2" borderId="22" xfId="0" applyFont="1" applyFill="1" applyBorder="1" applyAlignment="1">
      <alignment vertical="top"/>
    </xf>
    <xf numFmtId="3" fontId="62" fillId="8" borderId="47" xfId="0" applyNumberFormat="1" applyFont="1" applyFill="1" applyBorder="1" applyAlignment="1">
      <alignment vertical="top"/>
    </xf>
    <xf numFmtId="0" fontId="56" fillId="8" borderId="35" xfId="0" applyFont="1" applyFill="1" applyBorder="1" applyAlignment="1">
      <alignment horizontal="left" vertical="center" wrapText="1"/>
    </xf>
    <xf numFmtId="0" fontId="56" fillId="8" borderId="35" xfId="0" applyFont="1" applyFill="1" applyBorder="1" applyAlignment="1">
      <alignment horizontal="center" vertical="center" wrapText="1"/>
    </xf>
    <xf numFmtId="0" fontId="62" fillId="8" borderId="35" xfId="0" applyFont="1" applyFill="1" applyBorder="1" applyAlignment="1">
      <alignment vertical="top"/>
    </xf>
    <xf numFmtId="3" fontId="62" fillId="8" borderId="35" xfId="0" applyNumberFormat="1" applyFont="1" applyFill="1" applyBorder="1" applyAlignment="1">
      <alignment vertical="top"/>
    </xf>
    <xf numFmtId="3" fontId="62" fillId="8" borderId="10" xfId="0" applyNumberFormat="1" applyFont="1" applyFill="1" applyBorder="1" applyAlignment="1">
      <alignment vertical="top"/>
    </xf>
    <xf numFmtId="3" fontId="62" fillId="24" borderId="10" xfId="0" applyNumberFormat="1" applyFont="1" applyFill="1" applyBorder="1" applyAlignment="1">
      <alignment vertical="top"/>
    </xf>
    <xf numFmtId="3" fontId="58" fillId="2" borderId="98" xfId="4" applyNumberFormat="1" applyFont="1" applyFill="1" applyBorder="1" applyAlignment="1">
      <alignment vertical="top" wrapText="1"/>
    </xf>
    <xf numFmtId="0" fontId="62" fillId="0" borderId="47" xfId="0" applyFont="1" applyFill="1" applyBorder="1" applyAlignment="1">
      <alignment horizontal="left" vertical="center" wrapText="1"/>
    </xf>
    <xf numFmtId="0" fontId="51" fillId="2" borderId="6" xfId="0" quotePrefix="1" applyFont="1" applyFill="1" applyBorder="1" applyAlignment="1">
      <alignment vertical="center"/>
    </xf>
    <xf numFmtId="0" fontId="58" fillId="2" borderId="35" xfId="4" applyFont="1" applyFill="1" applyBorder="1" applyAlignment="1">
      <alignment vertical="top"/>
    </xf>
    <xf numFmtId="3" fontId="58" fillId="0" borderId="35" xfId="0" applyNumberFormat="1" applyFont="1" applyFill="1" applyBorder="1" applyAlignment="1">
      <alignment vertical="top"/>
    </xf>
    <xf numFmtId="3" fontId="58" fillId="26" borderId="10" xfId="0" applyNumberFormat="1" applyFont="1" applyFill="1" applyBorder="1" applyAlignment="1">
      <alignment horizontal="center" vertical="top"/>
    </xf>
    <xf numFmtId="0" fontId="62" fillId="0" borderId="47" xfId="4" applyFont="1" applyFill="1" applyBorder="1" applyAlignment="1">
      <alignment vertical="center"/>
    </xf>
    <xf numFmtId="3" fontId="62" fillId="26" borderId="10" xfId="0" applyNumberFormat="1" applyFont="1" applyFill="1" applyBorder="1" applyAlignment="1">
      <alignment horizontal="center" vertical="top"/>
    </xf>
    <xf numFmtId="0" fontId="54" fillId="6" borderId="35" xfId="0" applyFont="1" applyFill="1" applyBorder="1" applyAlignment="1">
      <alignment horizontal="center" vertical="center"/>
    </xf>
    <xf numFmtId="3" fontId="56" fillId="6" borderId="35" xfId="0" applyNumberFormat="1" applyFont="1" applyFill="1" applyBorder="1" applyAlignment="1">
      <alignment vertical="top"/>
    </xf>
    <xf numFmtId="3" fontId="56" fillId="23" borderId="10" xfId="0" applyNumberFormat="1" applyFont="1" applyFill="1" applyBorder="1" applyAlignment="1">
      <alignment vertical="top"/>
    </xf>
    <xf numFmtId="0" fontId="51" fillId="2" borderId="22" xfId="0" quotePrefix="1" applyFont="1" applyFill="1" applyBorder="1" applyAlignment="1">
      <alignment vertical="center"/>
    </xf>
    <xf numFmtId="0" fontId="56" fillId="8" borderId="70" xfId="0" applyFont="1" applyFill="1" applyBorder="1" applyAlignment="1">
      <alignment vertical="center" wrapText="1"/>
    </xf>
    <xf numFmtId="0" fontId="56" fillId="8" borderId="70" xfId="0" applyFont="1" applyFill="1" applyBorder="1" applyAlignment="1">
      <alignment horizontal="center" vertical="center" wrapText="1"/>
    </xf>
    <xf numFmtId="3" fontId="56" fillId="8" borderId="35" xfId="0" applyNumberFormat="1" applyFont="1" applyFill="1" applyBorder="1" applyAlignment="1">
      <alignment vertical="top"/>
    </xf>
    <xf numFmtId="0" fontId="62" fillId="6" borderId="98" xfId="0" applyFont="1" applyFill="1" applyBorder="1" applyAlignment="1">
      <alignment vertical="top"/>
    </xf>
    <xf numFmtId="3" fontId="58" fillId="0" borderId="98" xfId="4" applyNumberFormat="1" applyFont="1" applyFill="1" applyBorder="1" applyAlignment="1">
      <alignment vertical="top" wrapText="1"/>
    </xf>
    <xf numFmtId="0" fontId="63" fillId="0" borderId="98" xfId="0" applyFont="1" applyBorder="1"/>
    <xf numFmtId="3" fontId="62" fillId="2" borderId="98" xfId="0" applyNumberFormat="1" applyFont="1" applyFill="1" applyBorder="1" applyAlignment="1">
      <alignment vertical="top"/>
    </xf>
    <xf numFmtId="3" fontId="62" fillId="2" borderId="35" xfId="0" applyNumberFormat="1" applyFont="1" applyFill="1" applyBorder="1" applyAlignment="1">
      <alignment vertical="top"/>
    </xf>
    <xf numFmtId="3" fontId="58" fillId="26" borderId="35" xfId="0" applyNumberFormat="1" applyFont="1" applyFill="1" applyBorder="1" applyAlignment="1">
      <alignment horizontal="center" vertical="top"/>
    </xf>
    <xf numFmtId="0" fontId="63" fillId="0" borderId="98" xfId="0" applyFont="1" applyBorder="1" applyAlignment="1">
      <alignment vertical="center"/>
    </xf>
    <xf numFmtId="3" fontId="62" fillId="2" borderId="98" xfId="0" applyNumberFormat="1" applyFont="1" applyFill="1" applyBorder="1" applyAlignment="1">
      <alignment vertical="center"/>
    </xf>
    <xf numFmtId="0" fontId="64" fillId="0" borderId="98" xfId="0" applyFont="1" applyBorder="1" applyAlignment="1">
      <alignment vertical="center"/>
    </xf>
    <xf numFmtId="3" fontId="58" fillId="0" borderId="35" xfId="0" applyNumberFormat="1" applyFont="1" applyFill="1" applyBorder="1" applyAlignment="1">
      <alignment vertical="center"/>
    </xf>
    <xf numFmtId="3" fontId="58" fillId="26" borderId="35" xfId="0" applyNumberFormat="1" applyFont="1" applyFill="1" applyBorder="1" applyAlignment="1">
      <alignment horizontal="center" vertical="center"/>
    </xf>
    <xf numFmtId="3" fontId="62" fillId="0" borderId="35" xfId="0" applyNumberFormat="1" applyFont="1" applyFill="1" applyBorder="1" applyAlignment="1">
      <alignment vertical="center"/>
    </xf>
    <xf numFmtId="3" fontId="62" fillId="26" borderId="35" xfId="0" applyNumberFormat="1" applyFont="1" applyFill="1" applyBorder="1" applyAlignment="1">
      <alignment horizontal="center" vertical="center"/>
    </xf>
    <xf numFmtId="0" fontId="62" fillId="6" borderId="98" xfId="0" applyFont="1" applyFill="1" applyBorder="1" applyAlignment="1">
      <alignment vertical="center"/>
    </xf>
    <xf numFmtId="3" fontId="58" fillId="0" borderId="98" xfId="4" applyNumberFormat="1" applyFont="1" applyFill="1" applyBorder="1" applyAlignment="1">
      <alignment vertical="center" wrapText="1"/>
    </xf>
    <xf numFmtId="3" fontId="56" fillId="2" borderId="98" xfId="0" applyNumberFormat="1" applyFont="1" applyFill="1" applyBorder="1" applyAlignment="1">
      <alignment vertical="center"/>
    </xf>
    <xf numFmtId="3" fontId="62" fillId="0" borderId="47" xfId="0" applyNumberFormat="1" applyFont="1" applyFill="1" applyBorder="1" applyAlignment="1">
      <alignment vertical="center"/>
    </xf>
    <xf numFmtId="0" fontId="62" fillId="8" borderId="70" xfId="0" applyFont="1" applyFill="1" applyBorder="1" applyAlignment="1">
      <alignment vertical="top"/>
    </xf>
    <xf numFmtId="3" fontId="62" fillId="8" borderId="70" xfId="0" applyNumberFormat="1" applyFont="1" applyFill="1" applyBorder="1" applyAlignment="1">
      <alignment vertical="top"/>
    </xf>
    <xf numFmtId="3" fontId="62" fillId="8" borderId="2" xfId="0" applyNumberFormat="1" applyFont="1" applyFill="1" applyBorder="1" applyAlignment="1">
      <alignment vertical="top"/>
    </xf>
    <xf numFmtId="3" fontId="62" fillId="26" borderId="98" xfId="0" applyNumberFormat="1" applyFont="1" applyFill="1" applyBorder="1" applyAlignment="1">
      <alignment horizontal="center" vertical="top"/>
    </xf>
    <xf numFmtId="3" fontId="56" fillId="0" borderId="98" xfId="0" applyNumberFormat="1" applyFont="1" applyFill="1" applyBorder="1" applyAlignment="1">
      <alignment vertical="top"/>
    </xf>
    <xf numFmtId="3" fontId="62" fillId="24" borderId="2" xfId="0" applyNumberFormat="1" applyFont="1" applyFill="1" applyBorder="1" applyAlignment="1">
      <alignment vertical="top"/>
    </xf>
    <xf numFmtId="0" fontId="62" fillId="0" borderId="98" xfId="0" applyFont="1" applyFill="1" applyBorder="1" applyAlignment="1">
      <alignment vertical="top" wrapText="1"/>
    </xf>
    <xf numFmtId="3" fontId="56" fillId="0" borderId="35" xfId="0" applyNumberFormat="1" applyFont="1" applyFill="1" applyBorder="1" applyAlignment="1">
      <alignment vertical="top"/>
    </xf>
    <xf numFmtId="0" fontId="62" fillId="2" borderId="98" xfId="4" applyFont="1" applyFill="1" applyBorder="1" applyAlignment="1">
      <alignment vertical="center"/>
    </xf>
    <xf numFmtId="0" fontId="54" fillId="6" borderId="98" xfId="0" applyFont="1" applyFill="1" applyBorder="1" applyAlignment="1">
      <alignment horizontal="center" vertical="center"/>
    </xf>
    <xf numFmtId="0" fontId="58" fillId="2" borderId="35" xfId="4" applyFont="1" applyFill="1" applyBorder="1" applyAlignment="1">
      <alignment vertical="center"/>
    </xf>
    <xf numFmtId="0" fontId="62" fillId="2" borderId="47" xfId="4" applyFont="1" applyFill="1" applyBorder="1" applyAlignment="1">
      <alignment vertical="center"/>
    </xf>
    <xf numFmtId="3" fontId="62" fillId="0" borderId="12" xfId="0" applyNumberFormat="1" applyFont="1" applyFill="1" applyBorder="1" applyAlignment="1">
      <alignment vertical="top"/>
    </xf>
    <xf numFmtId="0" fontId="62" fillId="0" borderId="98" xfId="0" applyFont="1" applyFill="1" applyBorder="1" applyAlignment="1">
      <alignment horizontal="left" vertical="center" wrapText="1"/>
    </xf>
    <xf numFmtId="0" fontId="54" fillId="0" borderId="13" xfId="0" applyFont="1" applyBorder="1" applyAlignment="1">
      <alignment horizontal="center" vertical="center" wrapText="1"/>
    </xf>
    <xf numFmtId="0" fontId="58" fillId="0" borderId="98" xfId="0" applyFont="1" applyFill="1" applyBorder="1" applyAlignment="1">
      <alignment vertical="top" wrapText="1"/>
    </xf>
    <xf numFmtId="3" fontId="56" fillId="2" borderId="98" xfId="0" applyNumberFormat="1" applyFont="1" applyFill="1" applyBorder="1" applyAlignment="1">
      <alignment vertical="top"/>
    </xf>
    <xf numFmtId="3" fontId="120" fillId="6" borderId="98" xfId="0" applyNumberFormat="1" applyFont="1" applyFill="1" applyBorder="1" applyAlignment="1">
      <alignment vertical="top"/>
    </xf>
    <xf numFmtId="3" fontId="120" fillId="26" borderId="98" xfId="0" applyNumberFormat="1" applyFont="1" applyFill="1" applyBorder="1" applyAlignment="1">
      <alignment vertical="top"/>
    </xf>
    <xf numFmtId="3" fontId="117" fillId="0" borderId="98" xfId="0" applyNumberFormat="1" applyFont="1" applyFill="1" applyBorder="1" applyAlignment="1">
      <alignment vertical="top"/>
    </xf>
    <xf numFmtId="3" fontId="117" fillId="0" borderId="47" xfId="0" applyNumberFormat="1" applyFont="1" applyFill="1" applyBorder="1" applyAlignment="1">
      <alignment vertical="top"/>
    </xf>
    <xf numFmtId="0" fontId="168" fillId="0" borderId="11" xfId="0" applyFont="1" applyBorder="1" applyAlignment="1">
      <alignment horizontal="center" vertical="center"/>
    </xf>
    <xf numFmtId="0" fontId="56" fillId="0" borderId="12" xfId="4" applyFont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0" fillId="0" borderId="0" xfId="0" applyFont="1" applyBorder="1"/>
    <xf numFmtId="0" fontId="63" fillId="0" borderId="110" xfId="0" applyFont="1" applyBorder="1" applyAlignment="1">
      <alignment horizontal="center" vertical="center"/>
    </xf>
    <xf numFmtId="3" fontId="56" fillId="2" borderId="110" xfId="4" applyNumberFormat="1" applyFont="1" applyFill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top"/>
    </xf>
    <xf numFmtId="3" fontId="62" fillId="0" borderId="111" xfId="0" applyNumberFormat="1" applyFont="1" applyFill="1" applyBorder="1" applyAlignment="1">
      <alignment vertical="top"/>
    </xf>
    <xf numFmtId="3" fontId="58" fillId="0" borderId="111" xfId="0" applyNumberFormat="1" applyFont="1" applyFill="1" applyBorder="1" applyAlignment="1">
      <alignment vertical="top"/>
    </xf>
    <xf numFmtId="3" fontId="62" fillId="0" borderId="111" xfId="0" applyNumberFormat="1" applyFont="1" applyFill="1" applyBorder="1" applyAlignment="1">
      <alignment vertical="center"/>
    </xf>
    <xf numFmtId="3" fontId="56" fillId="6" borderId="111" xfId="0" applyNumberFormat="1" applyFont="1" applyFill="1" applyBorder="1" applyAlignment="1">
      <alignment vertical="center"/>
    </xf>
    <xf numFmtId="3" fontId="56" fillId="6" borderId="112" xfId="0" applyNumberFormat="1" applyFont="1" applyFill="1" applyBorder="1" applyAlignment="1">
      <alignment vertical="center"/>
    </xf>
    <xf numFmtId="3" fontId="58" fillId="2" borderId="112" xfId="0" applyNumberFormat="1" applyFont="1" applyFill="1" applyBorder="1" applyAlignment="1">
      <alignment vertical="center"/>
    </xf>
    <xf numFmtId="0" fontId="51" fillId="0" borderId="0" xfId="0" applyFont="1" applyBorder="1" applyAlignment="1">
      <alignment vertical="top"/>
    </xf>
    <xf numFmtId="0" fontId="119" fillId="0" borderId="20" xfId="0" applyFont="1" applyFill="1" applyBorder="1" applyAlignment="1">
      <alignment horizontal="center" vertical="center" wrapText="1"/>
    </xf>
    <xf numFmtId="0" fontId="108" fillId="2" borderId="0" xfId="0" applyFont="1" applyFill="1" applyBorder="1" applyAlignment="1"/>
    <xf numFmtId="0" fontId="83" fillId="2" borderId="0" xfId="0" applyFont="1" applyFill="1" applyBorder="1" applyAlignment="1"/>
    <xf numFmtId="0" fontId="52" fillId="31" borderId="0" xfId="0" applyFont="1" applyFill="1" applyBorder="1" applyAlignment="1">
      <alignment vertical="top"/>
    </xf>
    <xf numFmtId="0" fontId="51" fillId="0" borderId="0" xfId="0" applyFont="1" applyFill="1" applyBorder="1" applyAlignment="1">
      <alignment vertical="top"/>
    </xf>
    <xf numFmtId="0" fontId="51" fillId="0" borderId="0" xfId="0" applyFont="1" applyFill="1" applyBorder="1" applyAlignment="1">
      <alignment vertical="center"/>
    </xf>
    <xf numFmtId="3" fontId="51" fillId="0" borderId="0" xfId="0" applyNumberFormat="1" applyFont="1" applyFill="1" applyBorder="1" applyAlignment="1">
      <alignment vertical="top"/>
    </xf>
    <xf numFmtId="3" fontId="51" fillId="0" borderId="0" xfId="0" applyNumberFormat="1" applyFont="1" applyFill="1" applyBorder="1" applyAlignment="1">
      <alignment horizontal="right" vertical="top"/>
    </xf>
    <xf numFmtId="3" fontId="52" fillId="0" borderId="0" xfId="0" applyNumberFormat="1" applyFont="1" applyFill="1" applyBorder="1" applyAlignment="1"/>
    <xf numFmtId="0" fontId="51" fillId="0" borderId="1" xfId="0" applyFont="1" applyBorder="1" applyAlignment="1">
      <alignment vertical="top"/>
    </xf>
    <xf numFmtId="0" fontId="52" fillId="0" borderId="3" xfId="0" applyFont="1" applyBorder="1" applyAlignment="1">
      <alignment vertical="top"/>
    </xf>
    <xf numFmtId="0" fontId="52" fillId="0" borderId="66" xfId="0" applyFont="1" applyBorder="1" applyAlignment="1">
      <alignment vertical="top"/>
    </xf>
    <xf numFmtId="0" fontId="52" fillId="0" borderId="66" xfId="0" applyFont="1" applyBorder="1" applyAlignment="1">
      <alignment horizontal="center" vertical="top" wrapText="1"/>
    </xf>
    <xf numFmtId="0" fontId="51" fillId="0" borderId="26" xfId="0" applyFont="1" applyBorder="1" applyAlignment="1">
      <alignment vertical="top"/>
    </xf>
    <xf numFmtId="0" fontId="52" fillId="0" borderId="67" xfId="0" applyFont="1" applyBorder="1" applyAlignment="1">
      <alignment horizontal="center" vertical="top" wrapText="1"/>
    </xf>
    <xf numFmtId="0" fontId="51" fillId="0" borderId="68" xfId="0" applyFont="1" applyBorder="1" applyAlignment="1">
      <alignment vertical="top"/>
    </xf>
    <xf numFmtId="0" fontId="52" fillId="0" borderId="24" xfId="0" applyFont="1" applyBorder="1" applyAlignment="1">
      <alignment vertical="top"/>
    </xf>
    <xf numFmtId="0" fontId="52" fillId="0" borderId="69" xfId="0" applyFont="1" applyBorder="1" applyAlignment="1">
      <alignment vertical="top"/>
    </xf>
    <xf numFmtId="0" fontId="52" fillId="0" borderId="69" xfId="0" applyFont="1" applyBorder="1" applyAlignment="1">
      <alignment horizontal="center" vertical="top" wrapText="1"/>
    </xf>
    <xf numFmtId="0" fontId="119" fillId="0" borderId="21" xfId="0" applyFont="1" applyFill="1" applyBorder="1" applyAlignment="1">
      <alignment vertical="center" wrapText="1"/>
    </xf>
    <xf numFmtId="0" fontId="119" fillId="0" borderId="106" xfId="0" applyFont="1" applyFill="1" applyBorder="1" applyAlignment="1">
      <alignment vertical="center" wrapText="1"/>
    </xf>
    <xf numFmtId="0" fontId="119" fillId="0" borderId="77" xfId="0" applyFont="1" applyFill="1" applyBorder="1" applyAlignment="1">
      <alignment vertical="center" wrapText="1"/>
    </xf>
    <xf numFmtId="3" fontId="164" fillId="0" borderId="47" xfId="0" applyNumberFormat="1" applyFont="1" applyFill="1" applyBorder="1" applyAlignment="1">
      <alignment vertical="center"/>
    </xf>
    <xf numFmtId="3" fontId="164" fillId="0" borderId="13" xfId="0" applyNumberFormat="1" applyFont="1" applyFill="1" applyBorder="1" applyAlignment="1">
      <alignment horizontal="right" vertical="center"/>
    </xf>
    <xf numFmtId="3" fontId="164" fillId="59" borderId="13" xfId="0" applyNumberFormat="1" applyFont="1" applyFill="1" applyBorder="1" applyAlignment="1">
      <alignment horizontal="right" vertical="center"/>
    </xf>
    <xf numFmtId="3" fontId="164" fillId="61" borderId="13" xfId="0" applyNumberFormat="1" applyFont="1" applyFill="1" applyBorder="1" applyAlignment="1">
      <alignment horizontal="right" vertical="center"/>
    </xf>
    <xf numFmtId="3" fontId="164" fillId="0" borderId="47" xfId="0" applyNumberFormat="1" applyFont="1" applyFill="1" applyBorder="1" applyAlignment="1">
      <alignment vertical="top"/>
    </xf>
    <xf numFmtId="3" fontId="164" fillId="0" borderId="47" xfId="0" applyNumberFormat="1" applyFont="1" applyFill="1" applyBorder="1" applyAlignment="1">
      <alignment horizontal="right" vertical="center"/>
    </xf>
    <xf numFmtId="3" fontId="164" fillId="0" borderId="103" xfId="0" applyNumberFormat="1" applyFont="1" applyFill="1" applyBorder="1" applyAlignment="1">
      <alignment horizontal="right" vertical="center"/>
    </xf>
    <xf numFmtId="3" fontId="164" fillId="59" borderId="103" xfId="0" applyNumberFormat="1" applyFont="1" applyFill="1" applyBorder="1" applyAlignment="1">
      <alignment horizontal="right" vertical="center"/>
    </xf>
    <xf numFmtId="3" fontId="164" fillId="61" borderId="103" xfId="0" applyNumberFormat="1" applyFont="1" applyFill="1" applyBorder="1" applyAlignment="1">
      <alignment horizontal="right" vertical="center"/>
    </xf>
    <xf numFmtId="3" fontId="164" fillId="0" borderId="103" xfId="0" applyNumberFormat="1" applyFont="1" applyFill="1" applyBorder="1" applyAlignment="1">
      <alignment vertical="top"/>
    </xf>
    <xf numFmtId="3" fontId="129" fillId="23" borderId="98" xfId="0" applyNumberFormat="1" applyFont="1" applyFill="1" applyBorder="1" applyAlignment="1">
      <alignment horizontal="right" vertical="center"/>
    </xf>
    <xf numFmtId="3" fontId="117" fillId="23" borderId="98" xfId="0" applyNumberFormat="1" applyFont="1" applyFill="1" applyBorder="1" applyAlignment="1">
      <alignment horizontal="right" vertical="center"/>
    </xf>
    <xf numFmtId="0" fontId="119" fillId="0" borderId="32" xfId="4" applyFont="1" applyFill="1" applyBorder="1" applyAlignment="1">
      <alignment vertical="center"/>
    </xf>
    <xf numFmtId="0" fontId="119" fillId="0" borderId="32" xfId="0" applyFont="1" applyBorder="1" applyAlignment="1">
      <alignment vertical="center" wrapText="1"/>
    </xf>
    <xf numFmtId="0" fontId="119" fillId="0" borderId="32" xfId="0" applyFont="1" applyFill="1" applyBorder="1" applyAlignment="1">
      <alignment vertical="center" wrapText="1"/>
    </xf>
    <xf numFmtId="3" fontId="117" fillId="23" borderId="35" xfId="0" applyNumberFormat="1" applyFont="1" applyFill="1" applyBorder="1" applyAlignment="1">
      <alignment vertical="center"/>
    </xf>
    <xf numFmtId="3" fontId="117" fillId="0" borderId="109" xfId="0" applyNumberFormat="1" applyFont="1" applyFill="1" applyBorder="1" applyAlignment="1">
      <alignment vertical="center"/>
    </xf>
    <xf numFmtId="3" fontId="131" fillId="0" borderId="98" xfId="0" applyNumberFormat="1" applyFont="1" applyFill="1" applyBorder="1" applyAlignment="1">
      <alignment vertical="center"/>
    </xf>
    <xf numFmtId="3" fontId="119" fillId="8" borderId="18" xfId="0" applyNumberFormat="1" applyFont="1" applyFill="1" applyBorder="1" applyAlignment="1">
      <alignment vertical="top"/>
    </xf>
    <xf numFmtId="0" fontId="119" fillId="24" borderId="2" xfId="0" applyFont="1" applyFill="1" applyBorder="1" applyAlignment="1">
      <alignment vertical="center"/>
    </xf>
    <xf numFmtId="3" fontId="121" fillId="2" borderId="100" xfId="0" applyNumberFormat="1" applyFont="1" applyFill="1" applyBorder="1" applyAlignment="1">
      <alignment vertical="top"/>
    </xf>
    <xf numFmtId="3" fontId="117" fillId="0" borderId="103" xfId="0" applyNumberFormat="1" applyFont="1" applyFill="1" applyBorder="1" applyAlignment="1">
      <alignment horizontal="right" vertical="center"/>
    </xf>
    <xf numFmtId="3" fontId="117" fillId="59" borderId="103" xfId="0" applyNumberFormat="1" applyFont="1" applyFill="1" applyBorder="1" applyAlignment="1">
      <alignment horizontal="right" vertical="center"/>
    </xf>
    <xf numFmtId="3" fontId="117" fillId="61" borderId="103" xfId="0" applyNumberFormat="1" applyFont="1" applyFill="1" applyBorder="1" applyAlignment="1">
      <alignment horizontal="right" vertical="center"/>
    </xf>
    <xf numFmtId="3" fontId="121" fillId="2" borderId="98" xfId="0" applyNumberFormat="1" applyFont="1" applyFill="1" applyBorder="1" applyAlignment="1">
      <alignment vertical="top"/>
    </xf>
    <xf numFmtId="3" fontId="117" fillId="59" borderId="98" xfId="0" applyNumberFormat="1" applyFont="1" applyFill="1" applyBorder="1" applyAlignment="1">
      <alignment vertical="top"/>
    </xf>
    <xf numFmtId="3" fontId="117" fillId="61" borderId="98" xfId="0" applyNumberFormat="1" applyFont="1" applyFill="1" applyBorder="1" applyAlignment="1">
      <alignment vertical="top"/>
    </xf>
    <xf numFmtId="0" fontId="121" fillId="2" borderId="104" xfId="4" applyFont="1" applyFill="1" applyBorder="1" applyAlignment="1">
      <alignment vertical="top"/>
    </xf>
    <xf numFmtId="3" fontId="121" fillId="2" borderId="112" xfId="0" applyNumberFormat="1" applyFont="1" applyFill="1" applyBorder="1" applyAlignment="1">
      <alignment vertical="top"/>
    </xf>
    <xf numFmtId="3" fontId="121" fillId="59" borderId="112" xfId="0" applyNumberFormat="1" applyFont="1" applyFill="1" applyBorder="1" applyAlignment="1">
      <alignment vertical="top"/>
    </xf>
    <xf numFmtId="3" fontId="121" fillId="61" borderId="112" xfId="0" applyNumberFormat="1" applyFont="1" applyFill="1" applyBorder="1" applyAlignment="1">
      <alignment vertical="top"/>
    </xf>
    <xf numFmtId="3" fontId="121" fillId="2" borderId="9" xfId="0" applyNumberFormat="1" applyFont="1" applyFill="1" applyBorder="1" applyAlignment="1">
      <alignment vertical="top"/>
    </xf>
    <xf numFmtId="3" fontId="117" fillId="2" borderId="9" xfId="0" applyNumberFormat="1" applyFont="1" applyFill="1" applyBorder="1" applyAlignment="1">
      <alignment vertical="top"/>
    </xf>
    <xf numFmtId="3" fontId="117" fillId="0" borderId="112" xfId="0" applyNumberFormat="1" applyFont="1" applyFill="1" applyBorder="1" applyAlignment="1">
      <alignment vertical="top"/>
    </xf>
    <xf numFmtId="3" fontId="117" fillId="59" borderId="112" xfId="0" applyNumberFormat="1" applyFont="1" applyFill="1" applyBorder="1" applyAlignment="1">
      <alignment vertical="top"/>
    </xf>
    <xf numFmtId="3" fontId="117" fillId="61" borderId="112" xfId="0" applyNumberFormat="1" applyFont="1" applyFill="1" applyBorder="1" applyAlignment="1">
      <alignment vertical="top"/>
    </xf>
    <xf numFmtId="3" fontId="119" fillId="24" borderId="111" xfId="0" applyNumberFormat="1" applyFont="1" applyFill="1" applyBorder="1" applyAlignment="1">
      <alignment horizontal="center" vertical="center"/>
    </xf>
    <xf numFmtId="43" fontId="117" fillId="26" borderId="29" xfId="1" applyFont="1" applyFill="1" applyBorder="1" applyAlignment="1">
      <alignment horizontal="right" vertical="center"/>
    </xf>
    <xf numFmtId="3" fontId="7" fillId="0" borderId="85" xfId="0" applyNumberFormat="1" applyFont="1" applyBorder="1" applyAlignment="1">
      <alignment vertical="center"/>
    </xf>
    <xf numFmtId="3" fontId="3" fillId="0" borderId="7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3" fontId="3" fillId="0" borderId="10" xfId="0" applyNumberFormat="1" applyFont="1" applyBorder="1" applyAlignment="1">
      <alignment vertical="center"/>
    </xf>
    <xf numFmtId="3" fontId="3" fillId="0" borderId="27" xfId="0" applyNumberFormat="1" applyFont="1" applyBorder="1" applyAlignment="1">
      <alignment vertical="center"/>
    </xf>
    <xf numFmtId="3" fontId="132" fillId="0" borderId="0" xfId="0" applyNumberFormat="1" applyFont="1" applyFill="1" applyBorder="1" applyAlignment="1">
      <alignment vertical="center" wrapText="1"/>
    </xf>
    <xf numFmtId="0" fontId="117" fillId="6" borderId="28" xfId="0" applyFont="1" applyFill="1" applyBorder="1" applyAlignment="1">
      <alignment vertical="center"/>
    </xf>
    <xf numFmtId="3" fontId="120" fillId="59" borderId="100" xfId="0" applyNumberFormat="1" applyFont="1" applyFill="1" applyBorder="1" applyAlignment="1">
      <alignment vertical="center"/>
    </xf>
    <xf numFmtId="3" fontId="120" fillId="61" borderId="100" xfId="0" applyNumberFormat="1" applyFont="1" applyFill="1" applyBorder="1" applyAlignment="1">
      <alignment vertical="center"/>
    </xf>
    <xf numFmtId="3" fontId="120" fillId="23" borderId="100" xfId="0" applyNumberFormat="1" applyFont="1" applyFill="1" applyBorder="1" applyAlignment="1">
      <alignment vertical="center"/>
    </xf>
    <xf numFmtId="0" fontId="35" fillId="6" borderId="28" xfId="0" applyFont="1" applyFill="1" applyBorder="1" applyAlignment="1">
      <alignment vertical="center" wrapText="1"/>
    </xf>
    <xf numFmtId="3" fontId="55" fillId="6" borderId="35" xfId="0" applyNumberFormat="1" applyFont="1" applyFill="1" applyBorder="1" applyAlignment="1">
      <alignment vertical="center"/>
    </xf>
    <xf numFmtId="3" fontId="36" fillId="2" borderId="24" xfId="0" applyNumberFormat="1" applyFont="1" applyFill="1" applyBorder="1" applyAlignment="1">
      <alignment horizontal="left" vertical="top"/>
    </xf>
    <xf numFmtId="0" fontId="65" fillId="59" borderId="24" xfId="0" applyFont="1" applyFill="1" applyBorder="1" applyAlignment="1">
      <alignment vertical="top"/>
    </xf>
    <xf numFmtId="0" fontId="65" fillId="61" borderId="24" xfId="0" applyFont="1" applyFill="1" applyBorder="1" applyAlignment="1">
      <alignment vertical="top"/>
    </xf>
    <xf numFmtId="3" fontId="129" fillId="0" borderId="0" xfId="0" applyNumberFormat="1" applyFont="1" applyAlignment="1"/>
    <xf numFmtId="3" fontId="0" fillId="2" borderId="0" xfId="0" applyNumberFormat="1" applyFont="1" applyFill="1" applyAlignment="1"/>
    <xf numFmtId="3" fontId="171" fillId="0" borderId="111" xfId="5" applyNumberFormat="1" applyFont="1" applyBorder="1" applyAlignment="1">
      <alignment horizontal="center" vertical="center"/>
    </xf>
    <xf numFmtId="0" fontId="172" fillId="0" borderId="111" xfId="0" applyFont="1" applyBorder="1" applyAlignment="1">
      <alignment horizontal="center" vertical="center"/>
    </xf>
    <xf numFmtId="0" fontId="172" fillId="0" borderId="112" xfId="5" applyFont="1" applyBorder="1" applyAlignment="1">
      <alignment horizontal="center" vertical="center" wrapText="1"/>
    </xf>
    <xf numFmtId="3" fontId="173" fillId="0" borderId="111" xfId="5" applyNumberFormat="1" applyFont="1" applyBorder="1" applyAlignment="1">
      <alignment horizontal="center" vertical="center"/>
    </xf>
    <xf numFmtId="3" fontId="175" fillId="0" borderId="111" xfId="5" applyNumberFormat="1" applyFont="1" applyBorder="1" applyAlignment="1">
      <alignment vertical="center"/>
    </xf>
    <xf numFmtId="0" fontId="174" fillId="0" borderId="112" xfId="5" applyFont="1" applyBorder="1" applyAlignment="1">
      <alignment horizontal="left" vertical="center" wrapText="1"/>
    </xf>
    <xf numFmtId="3" fontId="176" fillId="0" borderId="111" xfId="5" applyNumberFormat="1" applyFont="1" applyBorder="1" applyAlignment="1">
      <alignment horizontal="center" vertical="center"/>
    </xf>
    <xf numFmtId="3" fontId="171" fillId="20" borderId="111" xfId="5" applyNumberFormat="1" applyFont="1" applyFill="1" applyBorder="1"/>
    <xf numFmtId="3" fontId="177" fillId="20" borderId="111" xfId="5" applyNumberFormat="1" applyFont="1" applyFill="1" applyBorder="1" applyAlignment="1">
      <alignment vertical="center"/>
    </xf>
    <xf numFmtId="0" fontId="177" fillId="20" borderId="112" xfId="5" applyFont="1" applyFill="1" applyBorder="1" applyAlignment="1">
      <alignment horizontal="center" vertical="center"/>
    </xf>
    <xf numFmtId="0" fontId="169" fillId="8" borderId="45" xfId="4" applyFont="1" applyFill="1" applyBorder="1" applyAlignment="1">
      <alignment vertical="top" wrapText="1"/>
    </xf>
    <xf numFmtId="0" fontId="169" fillId="6" borderId="34" xfId="4" applyFont="1" applyFill="1" applyBorder="1" applyAlignment="1">
      <alignment horizontal="left" vertical="center"/>
    </xf>
    <xf numFmtId="3" fontId="178" fillId="2" borderId="34" xfId="4" applyNumberFormat="1" applyFont="1" applyFill="1" applyBorder="1" applyAlignment="1">
      <alignment vertical="top" wrapText="1"/>
    </xf>
    <xf numFmtId="0" fontId="132" fillId="0" borderId="34" xfId="4" applyFont="1" applyFill="1" applyBorder="1" applyAlignment="1">
      <alignment vertical="top"/>
    </xf>
    <xf numFmtId="0" fontId="178" fillId="2" borderId="34" xfId="4" applyFont="1" applyFill="1" applyBorder="1" applyAlignment="1">
      <alignment vertical="top"/>
    </xf>
    <xf numFmtId="0" fontId="132" fillId="0" borderId="33" xfId="4" applyFont="1" applyFill="1" applyBorder="1" applyAlignment="1">
      <alignment vertical="top"/>
    </xf>
    <xf numFmtId="0" fontId="169" fillId="6" borderId="32" xfId="4" applyFont="1" applyFill="1" applyBorder="1" applyAlignment="1">
      <alignment horizontal="left" vertical="center"/>
    </xf>
    <xf numFmtId="0" fontId="178" fillId="2" borderId="32" xfId="4" applyFont="1" applyFill="1" applyBorder="1" applyAlignment="1">
      <alignment vertical="top"/>
    </xf>
    <xf numFmtId="0" fontId="132" fillId="0" borderId="77" xfId="4" applyFont="1" applyFill="1" applyBorder="1" applyAlignment="1">
      <alignment vertical="top"/>
    </xf>
    <xf numFmtId="3" fontId="116" fillId="8" borderId="112" xfId="4" applyNumberFormat="1" applyFont="1" applyFill="1" applyBorder="1" applyAlignment="1">
      <alignment horizontal="center" vertical="center"/>
    </xf>
    <xf numFmtId="3" fontId="119" fillId="24" borderId="121" xfId="4" applyNumberFormat="1" applyFont="1" applyFill="1" applyBorder="1" applyAlignment="1">
      <alignment horizontal="right" vertical="center"/>
    </xf>
    <xf numFmtId="3" fontId="116" fillId="6" borderId="112" xfId="4" applyNumberFormat="1" applyFont="1" applyFill="1" applyBorder="1" applyAlignment="1">
      <alignment vertical="center"/>
    </xf>
    <xf numFmtId="3" fontId="116" fillId="23" borderId="111" xfId="4" applyNumberFormat="1" applyFont="1" applyFill="1" applyBorder="1" applyAlignment="1">
      <alignment vertical="center"/>
    </xf>
    <xf numFmtId="3" fontId="159" fillId="0" borderId="112" xfId="4" applyNumberFormat="1" applyFont="1" applyFill="1" applyBorder="1" applyAlignment="1">
      <alignment horizontal="right" vertical="center"/>
    </xf>
    <xf numFmtId="3" fontId="159" fillId="26" borderId="111" xfId="4" applyNumberFormat="1" applyFont="1" applyFill="1" applyBorder="1" applyAlignment="1">
      <alignment horizontal="right" vertical="center"/>
    </xf>
    <xf numFmtId="3" fontId="119" fillId="0" borderId="111" xfId="0" applyNumberFormat="1" applyFont="1" applyFill="1" applyBorder="1" applyAlignment="1">
      <alignment vertical="top"/>
    </xf>
    <xf numFmtId="3" fontId="119" fillId="0" borderId="112" xfId="0" applyNumberFormat="1" applyFont="1" applyFill="1" applyBorder="1" applyAlignment="1">
      <alignment vertical="top"/>
    </xf>
    <xf numFmtId="3" fontId="119" fillId="0" borderId="111" xfId="4" applyNumberFormat="1" applyFont="1" applyFill="1" applyBorder="1" applyAlignment="1">
      <alignment vertical="top"/>
    </xf>
    <xf numFmtId="3" fontId="119" fillId="26" borderId="111" xfId="4" applyNumberFormat="1" applyFont="1" applyFill="1" applyBorder="1" applyAlignment="1">
      <alignment vertical="top"/>
    </xf>
    <xf numFmtId="3" fontId="159" fillId="26" borderId="112" xfId="4" applyNumberFormat="1" applyFont="1" applyFill="1" applyBorder="1" applyAlignment="1">
      <alignment horizontal="right" vertical="center"/>
    </xf>
    <xf numFmtId="4" fontId="119" fillId="0" borderId="111" xfId="4" applyNumberFormat="1" applyFont="1" applyFill="1" applyBorder="1" applyAlignment="1">
      <alignment vertical="top"/>
    </xf>
    <xf numFmtId="0" fontId="119" fillId="33" borderId="77" xfId="4" applyFont="1" applyFill="1" applyBorder="1" applyAlignment="1">
      <alignment vertical="top"/>
    </xf>
    <xf numFmtId="3" fontId="119" fillId="0" borderId="47" xfId="0" applyNumberFormat="1" applyFont="1" applyFill="1" applyBorder="1" applyAlignment="1">
      <alignment vertical="top"/>
    </xf>
    <xf numFmtId="3" fontId="119" fillId="0" borderId="47" xfId="4" applyNumberFormat="1" applyFont="1" applyFill="1" applyBorder="1" applyAlignment="1">
      <alignment vertical="top"/>
    </xf>
    <xf numFmtId="0" fontId="129" fillId="0" borderId="11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3" fontId="117" fillId="0" borderId="116" xfId="4" applyNumberFormat="1" applyFont="1" applyFill="1" applyBorder="1" applyAlignment="1"/>
    <xf numFmtId="3" fontId="119" fillId="0" borderId="112" xfId="4" applyNumberFormat="1" applyFont="1" applyFill="1" applyBorder="1" applyAlignment="1">
      <alignment horizontal="right" vertical="center"/>
    </xf>
    <xf numFmtId="3" fontId="117" fillId="0" borderId="112" xfId="4" applyNumberFormat="1" applyFont="1" applyFill="1" applyBorder="1" applyAlignment="1">
      <alignment horizontal="right" vertical="center"/>
    </xf>
    <xf numFmtId="3" fontId="117" fillId="0" borderId="112" xfId="4" applyNumberFormat="1" applyFont="1" applyFill="1" applyBorder="1" applyAlignment="1"/>
    <xf numFmtId="3" fontId="117" fillId="26" borderId="112" xfId="4" applyNumberFormat="1" applyFont="1" applyFill="1" applyBorder="1" applyAlignment="1">
      <alignment horizontal="right" vertical="center"/>
    </xf>
    <xf numFmtId="3" fontId="117" fillId="26" borderId="116" xfId="4" applyNumberFormat="1" applyFont="1" applyFill="1" applyBorder="1" applyAlignment="1">
      <alignment horizontal="right" vertical="center"/>
    </xf>
    <xf numFmtId="0" fontId="121" fillId="2" borderId="32" xfId="4" applyFont="1" applyFill="1" applyBorder="1" applyAlignment="1">
      <alignment vertical="center"/>
    </xf>
    <xf numFmtId="0" fontId="153" fillId="2" borderId="43" xfId="0" applyFont="1" applyFill="1" applyBorder="1" applyAlignment="1">
      <alignment vertical="center" wrapText="1"/>
    </xf>
    <xf numFmtId="0" fontId="0" fillId="0" borderId="0" xfId="0" applyFont="1" applyBorder="1"/>
    <xf numFmtId="3" fontId="56" fillId="23" borderId="35" xfId="0" applyNumberFormat="1" applyFont="1" applyFill="1" applyBorder="1" applyAlignment="1">
      <alignment horizontal="center" vertical="center"/>
    </xf>
    <xf numFmtId="0" fontId="119" fillId="0" borderId="114" xfId="0" applyFont="1" applyFill="1" applyBorder="1" applyAlignment="1">
      <alignment horizontal="center" vertical="center" wrapText="1"/>
    </xf>
    <xf numFmtId="3" fontId="56" fillId="6" borderId="112" xfId="4" applyNumberFormat="1" applyFont="1" applyFill="1" applyBorder="1" applyAlignment="1">
      <alignment horizontal="right" vertical="center"/>
    </xf>
    <xf numFmtId="3" fontId="58" fillId="0" borderId="112" xfId="4" applyNumberFormat="1" applyFont="1" applyFill="1" applyBorder="1" applyAlignment="1">
      <alignment horizontal="right" vertical="center"/>
    </xf>
    <xf numFmtId="3" fontId="58" fillId="26" borderId="112" xfId="4" applyNumberFormat="1" applyFont="1" applyFill="1" applyBorder="1" applyAlignment="1">
      <alignment horizontal="right" vertical="center"/>
    </xf>
    <xf numFmtId="3" fontId="62" fillId="0" borderId="116" xfId="4" applyNumberFormat="1" applyFont="1" applyFill="1" applyBorder="1" applyAlignment="1"/>
    <xf numFmtId="3" fontId="35" fillId="0" borderId="112" xfId="4" applyNumberFormat="1" applyFont="1" applyFill="1" applyBorder="1" applyAlignment="1">
      <alignment horizontal="right" vertical="center"/>
    </xf>
    <xf numFmtId="3" fontId="62" fillId="0" borderId="112" xfId="4" applyNumberFormat="1" applyFont="1" applyFill="1" applyBorder="1" applyAlignment="1"/>
    <xf numFmtId="3" fontId="62" fillId="0" borderId="112" xfId="4" applyNumberFormat="1" applyFont="1" applyFill="1" applyBorder="1" applyAlignment="1">
      <alignment horizontal="right" vertical="center"/>
    </xf>
    <xf numFmtId="3" fontId="62" fillId="26" borderId="112" xfId="4" applyNumberFormat="1" applyFont="1" applyFill="1" applyBorder="1" applyAlignment="1">
      <alignment horizontal="right" vertical="center"/>
    </xf>
    <xf numFmtId="3" fontId="64" fillId="0" borderId="112" xfId="6" applyNumberFormat="1" applyFont="1" applyFill="1" applyBorder="1" applyAlignment="1">
      <alignment vertical="center"/>
    </xf>
    <xf numFmtId="0" fontId="35" fillId="0" borderId="123" xfId="4" applyFont="1" applyFill="1" applyBorder="1" applyAlignment="1">
      <alignment vertical="top"/>
    </xf>
    <xf numFmtId="3" fontId="35" fillId="0" borderId="110" xfId="4" applyNumberFormat="1" applyFont="1" applyFill="1" applyBorder="1" applyAlignment="1">
      <alignment horizontal="right" vertical="center"/>
    </xf>
    <xf numFmtId="3" fontId="35" fillId="0" borderId="116" xfId="4" applyNumberFormat="1" applyFont="1" applyFill="1" applyBorder="1" applyAlignment="1">
      <alignment horizontal="right" vertical="center"/>
    </xf>
    <xf numFmtId="3" fontId="62" fillId="0" borderId="110" xfId="4" applyNumberFormat="1" applyFont="1" applyFill="1" applyBorder="1" applyAlignment="1">
      <alignment horizontal="right" vertical="center"/>
    </xf>
    <xf numFmtId="3" fontId="55" fillId="6" borderId="112" xfId="4" applyNumberFormat="1" applyFont="1" applyFill="1" applyBorder="1" applyAlignment="1"/>
    <xf numFmtId="3" fontId="58" fillId="2" borderId="122" xfId="4" applyNumberFormat="1" applyFont="1" applyFill="1" applyBorder="1" applyAlignment="1">
      <alignment vertical="top" wrapText="1"/>
    </xf>
    <xf numFmtId="3" fontId="58" fillId="2" borderId="112" xfId="4" applyNumberFormat="1" applyFont="1" applyFill="1" applyBorder="1" applyAlignment="1"/>
    <xf numFmtId="3" fontId="58" fillId="2" borderId="111" xfId="4" applyNumberFormat="1" applyFont="1" applyFill="1" applyBorder="1" applyAlignment="1"/>
    <xf numFmtId="0" fontId="120" fillId="6" borderId="122" xfId="4" applyFont="1" applyFill="1" applyBorder="1" applyAlignment="1">
      <alignment horizontal="left" vertical="center"/>
    </xf>
    <xf numFmtId="3" fontId="121" fillId="2" borderId="122" xfId="4" applyNumberFormat="1" applyFont="1" applyFill="1" applyBorder="1" applyAlignment="1">
      <alignment vertical="top" wrapText="1"/>
    </xf>
    <xf numFmtId="3" fontId="121" fillId="0" borderId="112" xfId="4" applyNumberFormat="1" applyFont="1" applyFill="1" applyBorder="1" applyAlignment="1">
      <alignment horizontal="right" vertical="center"/>
    </xf>
    <xf numFmtId="3" fontId="60" fillId="26" borderId="112" xfId="4" applyNumberFormat="1" applyFont="1" applyFill="1" applyBorder="1" applyAlignment="1">
      <alignment horizontal="right" vertical="center"/>
    </xf>
    <xf numFmtId="0" fontId="117" fillId="0" borderId="122" xfId="4" applyFont="1" applyFill="1" applyBorder="1" applyAlignment="1">
      <alignment vertical="top"/>
    </xf>
    <xf numFmtId="3" fontId="62" fillId="0" borderId="116" xfId="4" applyNumberFormat="1" applyFont="1" applyFill="1" applyBorder="1" applyAlignment="1">
      <alignment horizontal="right" vertical="center"/>
    </xf>
    <xf numFmtId="3" fontId="117" fillId="0" borderId="116" xfId="4" applyNumberFormat="1" applyFont="1" applyFill="1" applyBorder="1" applyAlignment="1">
      <alignment horizontal="right" vertical="center"/>
    </xf>
    <xf numFmtId="0" fontId="35" fillId="0" borderId="122" xfId="4" applyFont="1" applyFill="1" applyBorder="1" applyAlignment="1">
      <alignment vertical="top"/>
    </xf>
    <xf numFmtId="0" fontId="58" fillId="2" borderId="122" xfId="4" applyFont="1" applyFill="1" applyBorder="1" applyAlignment="1">
      <alignment vertical="center"/>
    </xf>
    <xf numFmtId="3" fontId="58" fillId="0" borderId="112" xfId="4" applyNumberFormat="1" applyFont="1" applyFill="1" applyBorder="1" applyAlignment="1"/>
    <xf numFmtId="3" fontId="150" fillId="0" borderId="112" xfId="6" applyNumberFormat="1" applyFont="1" applyFill="1" applyBorder="1" applyAlignment="1">
      <alignment vertical="center"/>
    </xf>
    <xf numFmtId="0" fontId="56" fillId="6" borderId="122" xfId="4" applyFont="1" applyFill="1" applyBorder="1" applyAlignment="1">
      <alignment horizontal="left" vertical="center"/>
    </xf>
    <xf numFmtId="43" fontId="55" fillId="6" borderId="112" xfId="1" applyFont="1" applyFill="1" applyBorder="1" applyAlignment="1"/>
    <xf numFmtId="43" fontId="63" fillId="0" borderId="111" xfId="1" applyFont="1" applyFill="1" applyBorder="1" applyAlignment="1">
      <alignment vertical="center"/>
    </xf>
    <xf numFmtId="3" fontId="63" fillId="0" borderId="112" xfId="6" applyNumberFormat="1" applyFont="1" applyFill="1" applyBorder="1" applyAlignment="1">
      <alignment vertical="center"/>
    </xf>
    <xf numFmtId="43" fontId="63" fillId="0" borderId="112" xfId="1" applyFont="1" applyFill="1" applyBorder="1" applyAlignment="1">
      <alignment vertical="center"/>
    </xf>
    <xf numFmtId="43" fontId="64" fillId="0" borderId="112" xfId="1" applyFont="1" applyFill="1" applyBorder="1" applyAlignment="1">
      <alignment vertical="center"/>
    </xf>
    <xf numFmtId="43" fontId="35" fillId="0" borderId="110" xfId="1" applyFont="1" applyFill="1" applyBorder="1" applyAlignment="1">
      <alignment horizontal="right" vertical="center"/>
    </xf>
    <xf numFmtId="3" fontId="54" fillId="6" borderId="112" xfId="6" applyNumberFormat="1" applyFont="1" applyFill="1" applyBorder="1" applyAlignment="1">
      <alignment horizontal="right" vertical="center"/>
    </xf>
    <xf numFmtId="3" fontId="64" fillId="0" borderId="112" xfId="6" applyNumberFormat="1" applyFont="1" applyFill="1" applyBorder="1" applyAlignment="1">
      <alignment horizontal="right" vertical="center"/>
    </xf>
    <xf numFmtId="0" fontId="62" fillId="0" borderId="123" xfId="4" applyFont="1" applyFill="1" applyBorder="1" applyAlignment="1">
      <alignment vertical="top"/>
    </xf>
    <xf numFmtId="3" fontId="60" fillId="2" borderId="112" xfId="4" applyNumberFormat="1" applyFont="1" applyFill="1" applyBorder="1" applyAlignment="1"/>
    <xf numFmtId="3" fontId="120" fillId="6" borderId="112" xfId="4" applyNumberFormat="1" applyFont="1" applyFill="1" applyBorder="1" applyAlignment="1">
      <alignment horizontal="right" vertical="center"/>
    </xf>
    <xf numFmtId="43" fontId="120" fillId="6" borderId="112" xfId="1" applyFont="1" applyFill="1" applyBorder="1" applyAlignment="1">
      <alignment horizontal="right" vertical="center"/>
    </xf>
    <xf numFmtId="43" fontId="117" fillId="0" borderId="111" xfId="1" applyFont="1" applyFill="1" applyBorder="1" applyAlignment="1">
      <alignment horizontal="right" vertical="center"/>
    </xf>
    <xf numFmtId="43" fontId="119" fillId="0" borderId="112" xfId="1" applyFont="1" applyFill="1" applyBorder="1" applyAlignment="1">
      <alignment horizontal="right" vertical="center"/>
    </xf>
    <xf numFmtId="43" fontId="62" fillId="26" borderId="112" xfId="1" applyFont="1" applyFill="1" applyBorder="1" applyAlignment="1">
      <alignment horizontal="right" vertical="center"/>
    </xf>
    <xf numFmtId="43" fontId="117" fillId="0" borderId="112" xfId="1" applyFont="1" applyFill="1" applyBorder="1" applyAlignment="1"/>
    <xf numFmtId="43" fontId="117" fillId="0" borderId="112" xfId="1" applyFont="1" applyFill="1" applyBorder="1" applyAlignment="1">
      <alignment horizontal="right" vertical="center"/>
    </xf>
    <xf numFmtId="43" fontId="150" fillId="0" borderId="112" xfId="1" applyFont="1" applyFill="1" applyBorder="1" applyAlignment="1">
      <alignment vertical="center"/>
    </xf>
    <xf numFmtId="0" fontId="117" fillId="0" borderId="115" xfId="4" applyFont="1" applyFill="1" applyBorder="1" applyAlignment="1">
      <alignment vertical="top"/>
    </xf>
    <xf numFmtId="43" fontId="119" fillId="0" borderId="111" xfId="1" applyFont="1" applyFill="1" applyBorder="1" applyAlignment="1">
      <alignment horizontal="right" vertical="center"/>
    </xf>
    <xf numFmtId="3" fontId="116" fillId="6" borderId="112" xfId="4" applyNumberFormat="1" applyFont="1" applyFill="1" applyBorder="1" applyAlignment="1"/>
    <xf numFmtId="43" fontId="116" fillId="6" borderId="112" xfId="1" applyFont="1" applyFill="1" applyBorder="1" applyAlignment="1"/>
    <xf numFmtId="3" fontId="116" fillId="33" borderId="112" xfId="4" applyNumberFormat="1" applyFont="1" applyFill="1" applyBorder="1" applyAlignment="1"/>
    <xf numFmtId="43" fontId="116" fillId="33" borderId="112" xfId="1" applyFont="1" applyFill="1" applyBorder="1" applyAlignment="1"/>
    <xf numFmtId="3" fontId="117" fillId="33" borderId="112" xfId="4" applyNumberFormat="1" applyFont="1" applyFill="1" applyBorder="1" applyAlignment="1"/>
    <xf numFmtId="3" fontId="159" fillId="2" borderId="112" xfId="4" applyNumberFormat="1" applyFont="1" applyFill="1" applyBorder="1" applyAlignment="1"/>
    <xf numFmtId="3" fontId="121" fillId="2" borderId="112" xfId="4" applyNumberFormat="1" applyFont="1" applyFill="1" applyBorder="1" applyAlignment="1"/>
    <xf numFmtId="43" fontId="159" fillId="2" borderId="112" xfId="1" applyFont="1" applyFill="1" applyBorder="1" applyAlignment="1"/>
    <xf numFmtId="43" fontId="117" fillId="0" borderId="72" xfId="1" applyFont="1" applyFill="1" applyBorder="1" applyAlignment="1"/>
    <xf numFmtId="0" fontId="50" fillId="0" borderId="124" xfId="0" applyFont="1" applyBorder="1" applyAlignment="1">
      <alignment vertical="top"/>
    </xf>
    <xf numFmtId="0" fontId="0" fillId="0" borderId="124" xfId="0" applyFont="1" applyBorder="1" applyAlignment="1">
      <alignment vertical="top"/>
    </xf>
    <xf numFmtId="3" fontId="0" fillId="0" borderId="124" xfId="0" applyNumberFormat="1" applyFont="1" applyBorder="1" applyAlignment="1">
      <alignment vertical="top"/>
    </xf>
    <xf numFmtId="0" fontId="59" fillId="0" borderId="124" xfId="0" applyFont="1" applyFill="1" applyBorder="1" applyAlignment="1"/>
    <xf numFmtId="0" fontId="42" fillId="0" borderId="124" xfId="0" applyFont="1" applyFill="1" applyBorder="1" applyAlignment="1"/>
    <xf numFmtId="0" fontId="45" fillId="2" borderId="124" xfId="3" applyFont="1" applyFill="1" applyBorder="1" applyAlignment="1">
      <alignment horizontal="right" vertical="center"/>
    </xf>
    <xf numFmtId="0" fontId="46" fillId="2" borderId="124" xfId="0" applyFont="1" applyFill="1" applyBorder="1" applyAlignment="1">
      <alignment horizontal="right" vertical="center"/>
    </xf>
    <xf numFmtId="0" fontId="0" fillId="0" borderId="124" xfId="0" applyFont="1" applyFill="1" applyBorder="1" applyAlignment="1">
      <alignment vertical="top"/>
    </xf>
    <xf numFmtId="4" fontId="0" fillId="0" borderId="124" xfId="0" applyNumberFormat="1" applyFont="1" applyBorder="1" applyAlignment="1">
      <alignment vertical="top"/>
    </xf>
    <xf numFmtId="0" fontId="44" fillId="0" borderId="124" xfId="0" applyFont="1" applyFill="1" applyBorder="1" applyAlignment="1">
      <alignment horizontal="left"/>
    </xf>
    <xf numFmtId="0" fontId="59" fillId="0" borderId="124" xfId="0" applyFont="1" applyFill="1" applyBorder="1" applyAlignment="1">
      <alignment horizontal="left"/>
    </xf>
    <xf numFmtId="0" fontId="65" fillId="2" borderId="125" xfId="0" applyFont="1" applyFill="1" applyBorder="1" applyAlignment="1">
      <alignment vertical="top"/>
    </xf>
    <xf numFmtId="0" fontId="65" fillId="0" borderId="125" xfId="0" applyFont="1" applyFill="1" applyBorder="1" applyAlignment="1">
      <alignment vertical="top"/>
    </xf>
    <xf numFmtId="0" fontId="65" fillId="0" borderId="124" xfId="0" applyFont="1" applyFill="1" applyBorder="1" applyAlignment="1">
      <alignment vertical="top"/>
    </xf>
    <xf numFmtId="0" fontId="48" fillId="2" borderId="126" xfId="0" applyFont="1" applyFill="1" applyBorder="1" applyAlignment="1">
      <alignment horizontal="center" vertical="top"/>
    </xf>
    <xf numFmtId="0" fontId="50" fillId="2" borderId="130" xfId="0" applyFont="1" applyFill="1" applyBorder="1" applyAlignment="1">
      <alignment vertical="center" wrapText="1"/>
    </xf>
    <xf numFmtId="0" fontId="48" fillId="2" borderId="133" xfId="0" applyFont="1" applyFill="1" applyBorder="1" applyAlignment="1">
      <alignment horizontal="center" vertical="center"/>
    </xf>
    <xf numFmtId="0" fontId="48" fillId="2" borderId="124" xfId="0" applyFont="1" applyFill="1" applyBorder="1" applyAlignment="1">
      <alignment horizontal="center" vertical="center" wrapText="1"/>
    </xf>
    <xf numFmtId="0" fontId="50" fillId="2" borderId="137" xfId="0" applyFont="1" applyFill="1" applyBorder="1" applyAlignment="1">
      <alignment vertical="center" wrapText="1"/>
    </xf>
    <xf numFmtId="0" fontId="48" fillId="2" borderId="133" xfId="0" applyFont="1" applyFill="1" applyBorder="1" applyAlignment="1">
      <alignment horizontal="center" vertical="top"/>
    </xf>
    <xf numFmtId="0" fontId="48" fillId="2" borderId="124" xfId="0" applyFont="1" applyFill="1" applyBorder="1" applyAlignment="1">
      <alignment horizontal="center" vertical="top"/>
    </xf>
    <xf numFmtId="0" fontId="54" fillId="0" borderId="142" xfId="0" applyFont="1" applyBorder="1" applyAlignment="1">
      <alignment horizontal="center" vertical="center" wrapText="1"/>
    </xf>
    <xf numFmtId="0" fontId="55" fillId="0" borderId="142" xfId="0" applyFont="1" applyBorder="1" applyAlignment="1">
      <alignment horizontal="center" vertical="center"/>
    </xf>
    <xf numFmtId="0" fontId="56" fillId="0" borderId="142" xfId="4" applyFont="1" applyBorder="1" applyAlignment="1">
      <alignment horizontal="center" vertical="center" wrapText="1"/>
    </xf>
    <xf numFmtId="0" fontId="56" fillId="33" borderId="142" xfId="4" applyFont="1" applyFill="1" applyBorder="1" applyAlignment="1">
      <alignment horizontal="center" vertical="center" wrapText="1"/>
    </xf>
    <xf numFmtId="0" fontId="54" fillId="0" borderId="142" xfId="6" applyFont="1" applyBorder="1" applyAlignment="1">
      <alignment horizontal="center" vertical="center"/>
    </xf>
    <xf numFmtId="0" fontId="54" fillId="0" borderId="143" xfId="6" applyFont="1" applyBorder="1" applyAlignment="1">
      <alignment horizontal="center" vertical="center"/>
    </xf>
    <xf numFmtId="0" fontId="52" fillId="2" borderId="127" xfId="0" applyFont="1" applyFill="1" applyBorder="1" applyAlignment="1">
      <alignment horizontal="center" vertical="top"/>
    </xf>
    <xf numFmtId="0" fontId="52" fillId="2" borderId="145" xfId="0" applyFont="1" applyFill="1" applyBorder="1" applyAlignment="1">
      <alignment horizontal="center" vertical="top"/>
    </xf>
    <xf numFmtId="0" fontId="52" fillId="2" borderId="128" xfId="0" quotePrefix="1" applyFont="1" applyFill="1" applyBorder="1" applyAlignment="1">
      <alignment horizontal="center" vertical="top"/>
    </xf>
    <xf numFmtId="0" fontId="52" fillId="2" borderId="131" xfId="0" quotePrefix="1" applyFont="1" applyFill="1" applyBorder="1" applyAlignment="1">
      <alignment horizontal="center" vertical="top"/>
    </xf>
    <xf numFmtId="0" fontId="53" fillId="0" borderId="146" xfId="6" applyFont="1" applyBorder="1" applyAlignment="1">
      <alignment horizontal="center" vertical="center"/>
    </xf>
    <xf numFmtId="0" fontId="53" fillId="0" borderId="147" xfId="6" applyFont="1" applyBorder="1" applyAlignment="1">
      <alignment horizontal="center" vertical="center"/>
    </xf>
    <xf numFmtId="0" fontId="53" fillId="0" borderId="148" xfId="6" applyFont="1" applyBorder="1" applyAlignment="1">
      <alignment horizontal="center" vertical="center"/>
    </xf>
    <xf numFmtId="0" fontId="53" fillId="19" borderId="149" xfId="0" applyFont="1" applyFill="1" applyBorder="1" applyAlignment="1">
      <alignment horizontal="center" vertical="center" wrapText="1"/>
    </xf>
    <xf numFmtId="0" fontId="52" fillId="0" borderId="150" xfId="4" applyFont="1" applyBorder="1" applyAlignment="1">
      <alignment horizontal="center" vertical="center" wrapText="1"/>
    </xf>
    <xf numFmtId="0" fontId="52" fillId="0" borderId="124" xfId="0" applyFont="1" applyFill="1" applyBorder="1" applyAlignment="1">
      <alignment vertical="top"/>
    </xf>
    <xf numFmtId="3" fontId="35" fillId="0" borderId="124" xfId="0" applyNumberFormat="1" applyFont="1" applyFill="1" applyBorder="1" applyAlignment="1">
      <alignment vertical="top"/>
    </xf>
    <xf numFmtId="0" fontId="61" fillId="8" borderId="126" xfId="0" applyFont="1" applyFill="1" applyBorder="1" applyAlignment="1">
      <alignment vertical="top"/>
    </xf>
    <xf numFmtId="0" fontId="58" fillId="57" borderId="151" xfId="4" applyFont="1" applyFill="1" applyBorder="1" applyAlignment="1">
      <alignment horizontal="left" vertical="center"/>
    </xf>
    <xf numFmtId="0" fontId="58" fillId="57" borderId="152" xfId="4" applyFont="1" applyFill="1" applyBorder="1" applyAlignment="1">
      <alignment horizontal="left" vertical="center"/>
    </xf>
    <xf numFmtId="3" fontId="58" fillId="57" borderId="153" xfId="4" applyNumberFormat="1" applyFont="1" applyFill="1" applyBorder="1" applyAlignment="1">
      <alignment horizontal="right" vertical="center"/>
    </xf>
    <xf numFmtId="3" fontId="58" fillId="57" borderId="154" xfId="4" applyNumberFormat="1" applyFont="1" applyFill="1" applyBorder="1" applyAlignment="1">
      <alignment horizontal="right" vertical="center"/>
    </xf>
    <xf numFmtId="3" fontId="58" fillId="22" borderId="155" xfId="4" applyNumberFormat="1" applyFont="1" applyFill="1" applyBorder="1" applyAlignment="1">
      <alignment horizontal="right" vertical="center"/>
    </xf>
    <xf numFmtId="3" fontId="49" fillId="8" borderId="132" xfId="4" applyNumberFormat="1" applyFont="1" applyFill="1" applyBorder="1" applyAlignment="1">
      <alignment vertical="top" wrapText="1"/>
    </xf>
    <xf numFmtId="0" fontId="0" fillId="0" borderId="124" xfId="0" applyFont="1" applyBorder="1"/>
    <xf numFmtId="3" fontId="0" fillId="0" borderId="124" xfId="0" applyNumberFormat="1" applyFont="1" applyBorder="1"/>
    <xf numFmtId="0" fontId="61" fillId="8" borderId="133" xfId="0" applyFont="1" applyFill="1" applyBorder="1" applyAlignment="1">
      <alignment vertical="top"/>
    </xf>
    <xf numFmtId="0" fontId="58" fillId="57" borderId="133" xfId="4" applyFont="1" applyFill="1" applyBorder="1" applyAlignment="1">
      <alignment horizontal="left" vertical="center"/>
    </xf>
    <xf numFmtId="0" fontId="58" fillId="57" borderId="134" xfId="4" applyFont="1" applyFill="1" applyBorder="1" applyAlignment="1">
      <alignment horizontal="left" vertical="center"/>
    </xf>
    <xf numFmtId="3" fontId="58" fillId="57" borderId="156" xfId="4" applyNumberFormat="1" applyFont="1" applyFill="1" applyBorder="1" applyAlignment="1">
      <alignment horizontal="right" vertical="center"/>
    </xf>
    <xf numFmtId="3" fontId="58" fillId="57" borderId="124" xfId="4" applyNumberFormat="1" applyFont="1" applyFill="1" applyBorder="1" applyAlignment="1">
      <alignment horizontal="right" vertical="center"/>
    </xf>
    <xf numFmtId="3" fontId="58" fillId="22" borderId="157" xfId="4" applyNumberFormat="1" applyFont="1" applyFill="1" applyBorder="1" applyAlignment="1">
      <alignment horizontal="right" vertical="center"/>
    </xf>
    <xf numFmtId="3" fontId="49" fillId="8" borderId="140" xfId="4" applyNumberFormat="1" applyFont="1" applyFill="1" applyBorder="1" applyAlignment="1">
      <alignment vertical="top" wrapText="1"/>
    </xf>
    <xf numFmtId="0" fontId="58" fillId="57" borderId="158" xfId="0" applyFont="1" applyFill="1" applyBorder="1" applyAlignment="1">
      <alignment horizontal="left" vertical="top"/>
    </xf>
    <xf numFmtId="0" fontId="59" fillId="57" borderId="141" xfId="0" quotePrefix="1" applyFont="1" applyFill="1" applyBorder="1" applyAlignment="1">
      <alignment horizontal="center" vertical="top"/>
    </xf>
    <xf numFmtId="3" fontId="58" fillId="57" borderId="159" xfId="0" quotePrefix="1" applyNumberFormat="1" applyFont="1" applyFill="1" applyBorder="1" applyAlignment="1">
      <alignment horizontal="right" vertical="top"/>
    </xf>
    <xf numFmtId="3" fontId="58" fillId="57" borderId="125" xfId="0" quotePrefix="1" applyNumberFormat="1" applyFont="1" applyFill="1" applyBorder="1" applyAlignment="1">
      <alignment horizontal="right" vertical="top"/>
    </xf>
    <xf numFmtId="3" fontId="58" fillId="22" borderId="160" xfId="4" applyNumberFormat="1" applyFont="1" applyFill="1" applyBorder="1" applyAlignment="1">
      <alignment horizontal="right" vertical="center"/>
    </xf>
    <xf numFmtId="0" fontId="56" fillId="6" borderId="161" xfId="4" applyFont="1" applyFill="1" applyBorder="1" applyAlignment="1">
      <alignment horizontal="left"/>
    </xf>
    <xf numFmtId="0" fontId="56" fillId="6" borderId="138" xfId="4" applyFont="1" applyFill="1" applyBorder="1" applyAlignment="1">
      <alignment horizontal="left"/>
    </xf>
    <xf numFmtId="3" fontId="56" fillId="6" borderId="137" xfId="0" applyNumberFormat="1" applyFont="1" applyFill="1" applyBorder="1" applyAlignment="1"/>
    <xf numFmtId="3" fontId="56" fillId="6" borderId="139" xfId="0" applyNumberFormat="1" applyFont="1" applyFill="1" applyBorder="1" applyAlignment="1"/>
    <xf numFmtId="3" fontId="56" fillId="6" borderId="136" xfId="0" applyNumberFormat="1" applyFont="1" applyFill="1" applyBorder="1" applyAlignment="1"/>
    <xf numFmtId="3" fontId="56" fillId="23" borderId="162" xfId="0" applyNumberFormat="1" applyFont="1" applyFill="1" applyBorder="1" applyAlignment="1"/>
    <xf numFmtId="3" fontId="49" fillId="8" borderId="140" xfId="0" applyNumberFormat="1" applyFont="1" applyFill="1" applyBorder="1" applyAlignment="1">
      <alignment horizontal="center" vertical="top" wrapText="1"/>
    </xf>
    <xf numFmtId="3" fontId="52" fillId="0" borderId="124" xfId="0" applyNumberFormat="1" applyFont="1" applyFill="1" applyBorder="1" applyAlignment="1">
      <alignment vertical="top"/>
    </xf>
    <xf numFmtId="0" fontId="58" fillId="8" borderId="163" xfId="4" applyFont="1" applyFill="1" applyBorder="1" applyAlignment="1"/>
    <xf numFmtId="0" fontId="56" fillId="8" borderId="138" xfId="0" applyFont="1" applyFill="1" applyBorder="1" applyAlignment="1">
      <alignment wrapText="1"/>
    </xf>
    <xf numFmtId="3" fontId="56" fillId="8" borderId="139" xfId="0" applyNumberFormat="1" applyFont="1" applyFill="1" applyBorder="1" applyAlignment="1"/>
    <xf numFmtId="3" fontId="56" fillId="8" borderId="136" xfId="0" applyNumberFormat="1" applyFont="1" applyFill="1" applyBorder="1" applyAlignment="1"/>
    <xf numFmtId="3" fontId="56" fillId="24" borderId="162" xfId="0" applyNumberFormat="1" applyFont="1" applyFill="1" applyBorder="1" applyAlignment="1"/>
    <xf numFmtId="3" fontId="49" fillId="8" borderId="140" xfId="0" applyNumberFormat="1" applyFont="1" applyFill="1" applyBorder="1" applyAlignment="1">
      <alignment horizontal="center" vertical="center" wrapText="1"/>
    </xf>
    <xf numFmtId="0" fontId="52" fillId="0" borderId="124" xfId="0" applyFont="1" applyFill="1" applyBorder="1" applyAlignment="1">
      <alignment vertical="center"/>
    </xf>
    <xf numFmtId="3" fontId="52" fillId="0" borderId="124" xfId="0" applyNumberFormat="1" applyFont="1" applyFill="1" applyBorder="1" applyAlignment="1">
      <alignment vertical="center"/>
    </xf>
    <xf numFmtId="0" fontId="62" fillId="8" borderId="161" xfId="0" applyFont="1" applyFill="1" applyBorder="1" applyAlignment="1">
      <alignment vertical="center"/>
    </xf>
    <xf numFmtId="3" fontId="62" fillId="8" borderId="139" xfId="0" applyNumberFormat="1" applyFont="1" applyFill="1" applyBorder="1" applyAlignment="1"/>
    <xf numFmtId="3" fontId="62" fillId="8" borderId="136" xfId="0" applyNumberFormat="1" applyFont="1" applyFill="1" applyBorder="1" applyAlignment="1"/>
    <xf numFmtId="3" fontId="62" fillId="24" borderId="164" xfId="0" applyNumberFormat="1" applyFont="1" applyFill="1" applyBorder="1" applyAlignment="1"/>
    <xf numFmtId="0" fontId="62" fillId="8" borderId="138" xfId="0" applyFont="1" applyFill="1" applyBorder="1" applyAlignment="1">
      <alignment vertical="center"/>
    </xf>
    <xf numFmtId="3" fontId="62" fillId="8" borderId="165" xfId="0" applyNumberFormat="1" applyFont="1" applyFill="1" applyBorder="1" applyAlignment="1">
      <alignment vertical="center"/>
    </xf>
    <xf numFmtId="43" fontId="62" fillId="8" borderId="139" xfId="1" applyFont="1" applyFill="1" applyBorder="1" applyAlignment="1"/>
    <xf numFmtId="43" fontId="62" fillId="8" borderId="136" xfId="1" applyFont="1" applyFill="1" applyBorder="1" applyAlignment="1"/>
    <xf numFmtId="3" fontId="62" fillId="26" borderId="164" xfId="0" applyNumberFormat="1" applyFont="1" applyFill="1" applyBorder="1" applyAlignment="1">
      <alignment horizontal="center" vertical="top"/>
    </xf>
    <xf numFmtId="43" fontId="62" fillId="8" borderId="165" xfId="1" applyFont="1" applyFill="1" applyBorder="1" applyAlignment="1">
      <alignment vertical="center"/>
    </xf>
    <xf numFmtId="43" fontId="62" fillId="8" borderId="166" xfId="1" applyFont="1" applyFill="1" applyBorder="1" applyAlignment="1">
      <alignment vertical="center"/>
    </xf>
    <xf numFmtId="3" fontId="62" fillId="24" borderId="164" xfId="0" applyNumberFormat="1" applyFont="1" applyFill="1" applyBorder="1" applyAlignment="1">
      <alignment vertical="top"/>
    </xf>
    <xf numFmtId="0" fontId="106" fillId="8" borderId="140" xfId="0" applyFont="1" applyFill="1" applyBorder="1" applyAlignment="1">
      <alignment horizontal="center" vertical="top" wrapText="1"/>
    </xf>
    <xf numFmtId="0" fontId="61" fillId="8" borderId="133" xfId="0" applyFont="1" applyFill="1" applyBorder="1" applyAlignment="1">
      <alignment vertical="center"/>
    </xf>
    <xf numFmtId="0" fontId="62" fillId="8" borderId="167" xfId="0" applyFont="1" applyFill="1" applyBorder="1" applyAlignment="1">
      <alignment vertical="center" wrapText="1"/>
    </xf>
    <xf numFmtId="3" fontId="62" fillId="8" borderId="139" xfId="0" applyNumberFormat="1" applyFont="1" applyFill="1" applyBorder="1" applyAlignment="1">
      <alignment vertical="center"/>
    </xf>
    <xf numFmtId="43" fontId="62" fillId="8" borderId="139" xfId="1" applyFont="1" applyFill="1" applyBorder="1" applyAlignment="1">
      <alignment vertical="center"/>
    </xf>
    <xf numFmtId="43" fontId="62" fillId="8" borderId="136" xfId="1" applyFont="1" applyFill="1" applyBorder="1" applyAlignment="1">
      <alignment vertical="center"/>
    </xf>
    <xf numFmtId="3" fontId="62" fillId="24" borderId="164" xfId="0" applyNumberFormat="1" applyFont="1" applyFill="1" applyBorder="1" applyAlignment="1">
      <alignment vertical="center"/>
    </xf>
    <xf numFmtId="0" fontId="106" fillId="8" borderId="140" xfId="0" applyFont="1" applyFill="1" applyBorder="1" applyAlignment="1">
      <alignment horizontal="center" vertical="center" wrapText="1"/>
    </xf>
    <xf numFmtId="0" fontId="48" fillId="8" borderId="133" xfId="0" applyFont="1" applyFill="1" applyBorder="1" applyAlignment="1">
      <alignment vertical="center"/>
    </xf>
    <xf numFmtId="0" fontId="58" fillId="8" borderId="163" xfId="4" applyFont="1" applyFill="1" applyBorder="1" applyAlignment="1">
      <alignment vertical="center"/>
    </xf>
    <xf numFmtId="0" fontId="56" fillId="8" borderId="138" xfId="0" applyFont="1" applyFill="1" applyBorder="1" applyAlignment="1">
      <alignment vertical="center" wrapText="1"/>
    </xf>
    <xf numFmtId="3" fontId="56" fillId="8" borderId="139" xfId="0" applyNumberFormat="1" applyFont="1" applyFill="1" applyBorder="1" applyAlignment="1">
      <alignment vertical="center"/>
    </xf>
    <xf numFmtId="43" fontId="56" fillId="8" borderId="139" xfId="1" applyFont="1" applyFill="1" applyBorder="1" applyAlignment="1">
      <alignment vertical="center"/>
    </xf>
    <xf numFmtId="43" fontId="56" fillId="8" borderId="136" xfId="1" applyFont="1" applyFill="1" applyBorder="1" applyAlignment="1">
      <alignment vertical="center"/>
    </xf>
    <xf numFmtId="0" fontId="48" fillId="8" borderId="133" xfId="0" applyFont="1" applyFill="1" applyBorder="1" applyAlignment="1">
      <alignment vertical="top"/>
    </xf>
    <xf numFmtId="0" fontId="62" fillId="8" borderId="168" xfId="4" applyFont="1" applyFill="1" applyBorder="1" applyAlignment="1">
      <alignment vertical="top" wrapText="1"/>
    </xf>
    <xf numFmtId="0" fontId="62" fillId="8" borderId="169" xfId="0" applyFont="1" applyFill="1" applyBorder="1" applyAlignment="1">
      <alignment vertical="top" wrapText="1"/>
    </xf>
    <xf numFmtId="3" fontId="62" fillId="8" borderId="170" xfId="0" applyNumberFormat="1" applyFont="1" applyFill="1" applyBorder="1" applyAlignment="1">
      <alignment vertical="top"/>
    </xf>
    <xf numFmtId="43" fontId="62" fillId="8" borderId="170" xfId="1" applyFont="1" applyFill="1" applyBorder="1" applyAlignment="1">
      <alignment vertical="top"/>
    </xf>
    <xf numFmtId="43" fontId="62" fillId="8" borderId="171" xfId="1" applyFont="1" applyFill="1" applyBorder="1" applyAlignment="1">
      <alignment vertical="top"/>
    </xf>
    <xf numFmtId="0" fontId="49" fillId="8" borderId="140" xfId="0" applyFont="1" applyFill="1" applyBorder="1" applyAlignment="1">
      <alignment horizontal="center" vertical="top" wrapText="1"/>
    </xf>
    <xf numFmtId="0" fontId="56" fillId="6" borderId="167" xfId="4" applyFont="1" applyFill="1" applyBorder="1" applyAlignment="1">
      <alignment horizontal="left" vertical="center"/>
    </xf>
    <xf numFmtId="0" fontId="56" fillId="6" borderId="138" xfId="4" applyFont="1" applyFill="1" applyBorder="1" applyAlignment="1">
      <alignment horizontal="left" vertical="center"/>
    </xf>
    <xf numFmtId="3" fontId="56" fillId="6" borderId="165" xfId="0" applyNumberFormat="1" applyFont="1" applyFill="1" applyBorder="1" applyAlignment="1">
      <alignment vertical="top"/>
    </xf>
    <xf numFmtId="43" fontId="56" fillId="6" borderId="165" xfId="1" applyFont="1" applyFill="1" applyBorder="1" applyAlignment="1">
      <alignment vertical="top"/>
    </xf>
    <xf numFmtId="43" fontId="56" fillId="6" borderId="166" xfId="1" applyFont="1" applyFill="1" applyBorder="1" applyAlignment="1">
      <alignment vertical="top"/>
    </xf>
    <xf numFmtId="43" fontId="62" fillId="8" borderId="137" xfId="1" applyFont="1" applyFill="1" applyBorder="1" applyAlignment="1">
      <alignment vertical="center"/>
    </xf>
    <xf numFmtId="43" fontId="56" fillId="8" borderId="137" xfId="1" applyFont="1" applyFill="1" applyBorder="1" applyAlignment="1">
      <alignment vertical="center"/>
    </xf>
    <xf numFmtId="0" fontId="62" fillId="8" borderId="156" xfId="0" applyFont="1" applyFill="1" applyBorder="1" applyAlignment="1">
      <alignment vertical="top" wrapText="1"/>
    </xf>
    <xf numFmtId="3" fontId="62" fillId="8" borderId="173" xfId="0" applyNumberFormat="1" applyFont="1" applyFill="1" applyBorder="1" applyAlignment="1">
      <alignment vertical="top"/>
    </xf>
    <xf numFmtId="43" fontId="62" fillId="8" borderId="173" xfId="1" applyFont="1" applyFill="1" applyBorder="1" applyAlignment="1">
      <alignment vertical="top"/>
    </xf>
    <xf numFmtId="43" fontId="62" fillId="8" borderId="174" xfId="1" applyFont="1" applyFill="1" applyBorder="1" applyAlignment="1">
      <alignment vertical="top"/>
    </xf>
    <xf numFmtId="0" fontId="55" fillId="8" borderId="151" xfId="0" applyFont="1" applyFill="1" applyBorder="1" applyAlignment="1">
      <alignment vertical="top" wrapText="1"/>
    </xf>
    <xf numFmtId="0" fontId="55" fillId="8" borderId="153" xfId="0" applyFont="1" applyFill="1" applyBorder="1" applyAlignment="1">
      <alignment horizontal="center" vertical="center" wrapText="1"/>
    </xf>
    <xf numFmtId="3" fontId="62" fillId="8" borderId="130" xfId="0" applyNumberFormat="1" applyFont="1" applyFill="1" applyBorder="1" applyAlignment="1">
      <alignment vertical="top"/>
    </xf>
    <xf numFmtId="3" fontId="62" fillId="8" borderId="128" xfId="0" applyNumberFormat="1" applyFont="1" applyFill="1" applyBorder="1" applyAlignment="1">
      <alignment vertical="top"/>
    </xf>
    <xf numFmtId="3" fontId="62" fillId="8" borderId="131" xfId="0" applyNumberFormat="1" applyFont="1" applyFill="1" applyBorder="1" applyAlignment="1">
      <alignment vertical="top"/>
    </xf>
    <xf numFmtId="3" fontId="62" fillId="24" borderId="145" xfId="0" applyNumberFormat="1" applyFont="1" applyFill="1" applyBorder="1" applyAlignment="1">
      <alignment vertical="top"/>
    </xf>
    <xf numFmtId="0" fontId="35" fillId="0" borderId="124" xfId="0" applyFont="1" applyFill="1" applyBorder="1" applyAlignment="1">
      <alignment vertical="top"/>
    </xf>
    <xf numFmtId="0" fontId="55" fillId="6" borderId="175" xfId="4" applyFont="1" applyFill="1" applyBorder="1" applyAlignment="1">
      <alignment horizontal="left" vertical="center"/>
    </xf>
    <xf numFmtId="0" fontId="35" fillId="6" borderId="169" xfId="0" applyFont="1" applyFill="1" applyBorder="1" applyAlignment="1">
      <alignment vertical="top" wrapText="1"/>
    </xf>
    <xf numFmtId="3" fontId="56" fillId="6" borderId="165" xfId="0" applyNumberFormat="1" applyFont="1" applyFill="1" applyBorder="1" applyAlignment="1"/>
    <xf numFmtId="3" fontId="56" fillId="6" borderId="156" xfId="0" applyNumberFormat="1" applyFont="1" applyFill="1" applyBorder="1" applyAlignment="1"/>
    <xf numFmtId="3" fontId="56" fillId="6" borderId="135" xfId="0" applyNumberFormat="1" applyFont="1" applyFill="1" applyBorder="1" applyAlignment="1"/>
    <xf numFmtId="3" fontId="56" fillId="6" borderId="124" xfId="0" applyNumberFormat="1" applyFont="1" applyFill="1" applyBorder="1" applyAlignment="1"/>
    <xf numFmtId="3" fontId="56" fillId="23" borderId="157" xfId="0" applyNumberFormat="1" applyFont="1" applyFill="1" applyBorder="1" applyAlignment="1"/>
    <xf numFmtId="0" fontId="49" fillId="0" borderId="124" xfId="0" applyFont="1" applyFill="1" applyBorder="1" applyAlignment="1">
      <alignment vertical="top"/>
    </xf>
    <xf numFmtId="3" fontId="60" fillId="2" borderId="167" xfId="4" applyNumberFormat="1" applyFont="1" applyFill="1" applyBorder="1" applyAlignment="1">
      <alignment vertical="center" wrapText="1"/>
    </xf>
    <xf numFmtId="3" fontId="58" fillId="2" borderId="165" xfId="0" applyNumberFormat="1" applyFont="1" applyFill="1" applyBorder="1" applyAlignment="1"/>
    <xf numFmtId="3" fontId="58" fillId="2" borderId="156" xfId="0" applyNumberFormat="1" applyFont="1" applyFill="1" applyBorder="1" applyAlignment="1"/>
    <xf numFmtId="3" fontId="58" fillId="2" borderId="135" xfId="0" applyNumberFormat="1" applyFont="1" applyFill="1" applyBorder="1" applyAlignment="1"/>
    <xf numFmtId="3" fontId="58" fillId="2" borderId="124" xfId="0" applyNumberFormat="1" applyFont="1" applyFill="1" applyBorder="1" applyAlignment="1"/>
    <xf numFmtId="3" fontId="58" fillId="27" borderId="157" xfId="0" applyNumberFormat="1" applyFont="1" applyFill="1" applyBorder="1" applyAlignment="1"/>
    <xf numFmtId="0" fontId="35" fillId="0" borderId="161" xfId="0" applyFont="1" applyFill="1" applyBorder="1" applyAlignment="1">
      <alignment vertical="center"/>
    </xf>
    <xf numFmtId="3" fontId="62" fillId="0" borderId="165" xfId="0" applyNumberFormat="1" applyFont="1" applyFill="1" applyBorder="1" applyAlignment="1">
      <alignment vertical="top"/>
    </xf>
    <xf numFmtId="3" fontId="62" fillId="0" borderId="156" xfId="0" applyNumberFormat="1" applyFont="1" applyFill="1" applyBorder="1" applyAlignment="1">
      <alignment vertical="top"/>
    </xf>
    <xf numFmtId="3" fontId="62" fillId="0" borderId="135" xfId="0" applyNumberFormat="1" applyFont="1" applyFill="1" applyBorder="1" applyAlignment="1">
      <alignment vertical="top"/>
    </xf>
    <xf numFmtId="3" fontId="62" fillId="0" borderId="124" xfId="0" applyNumberFormat="1" applyFont="1" applyFill="1" applyBorder="1" applyAlignment="1">
      <alignment vertical="top"/>
    </xf>
    <xf numFmtId="3" fontId="62" fillId="26" borderId="157" xfId="0" applyNumberFormat="1" applyFont="1" applyFill="1" applyBorder="1" applyAlignment="1">
      <alignment horizontal="center" vertical="top"/>
    </xf>
    <xf numFmtId="3" fontId="49" fillId="0" borderId="124" xfId="0" applyNumberFormat="1" applyFont="1" applyFill="1" applyBorder="1" applyAlignment="1">
      <alignment vertical="top"/>
    </xf>
    <xf numFmtId="0" fontId="35" fillId="0" borderId="167" xfId="0" applyFont="1" applyFill="1" applyBorder="1" applyAlignment="1">
      <alignment vertical="center" wrapText="1"/>
    </xf>
    <xf numFmtId="3" fontId="62" fillId="26" borderId="157" xfId="0" applyNumberFormat="1" applyFont="1" applyFill="1" applyBorder="1" applyAlignment="1">
      <alignment vertical="top"/>
    </xf>
    <xf numFmtId="0" fontId="60" fillId="2" borderId="167" xfId="4" applyFont="1" applyFill="1" applyBorder="1" applyAlignment="1">
      <alignment vertical="center"/>
    </xf>
    <xf numFmtId="3" fontId="58" fillId="0" borderId="165" xfId="0" applyNumberFormat="1" applyFont="1" applyFill="1" applyBorder="1" applyAlignment="1">
      <alignment vertical="top"/>
    </xf>
    <xf numFmtId="3" fontId="58" fillId="0" borderId="156" xfId="0" applyNumberFormat="1" applyFont="1" applyFill="1" applyBorder="1" applyAlignment="1">
      <alignment vertical="top"/>
    </xf>
    <xf numFmtId="3" fontId="58" fillId="0" borderId="135" xfId="0" applyNumberFormat="1" applyFont="1" applyFill="1" applyBorder="1" applyAlignment="1">
      <alignment vertical="top"/>
    </xf>
    <xf numFmtId="3" fontId="58" fillId="0" borderId="124" xfId="0" applyNumberFormat="1" applyFont="1" applyFill="1" applyBorder="1" applyAlignment="1">
      <alignment vertical="top"/>
    </xf>
    <xf numFmtId="3" fontId="58" fillId="26" borderId="157" xfId="0" applyNumberFormat="1" applyFont="1" applyFill="1" applyBorder="1" applyAlignment="1">
      <alignment horizontal="center" vertical="top"/>
    </xf>
    <xf numFmtId="0" fontId="35" fillId="0" borderId="168" xfId="4" applyFont="1" applyFill="1" applyBorder="1" applyAlignment="1">
      <alignment vertical="center"/>
    </xf>
    <xf numFmtId="3" fontId="62" fillId="0" borderId="170" xfId="0" applyNumberFormat="1" applyFont="1" applyFill="1" applyBorder="1" applyAlignment="1">
      <alignment vertical="top"/>
    </xf>
    <xf numFmtId="0" fontId="55" fillId="6" borderId="167" xfId="4" applyFont="1" applyFill="1" applyBorder="1" applyAlignment="1">
      <alignment horizontal="left" vertical="center"/>
    </xf>
    <xf numFmtId="0" fontId="35" fillId="6" borderId="169" xfId="0" applyFont="1" applyFill="1" applyBorder="1" applyAlignment="1">
      <alignment vertical="top"/>
    </xf>
    <xf numFmtId="3" fontId="56" fillId="23" borderId="157" xfId="0" applyNumberFormat="1" applyFont="1" applyFill="1" applyBorder="1" applyAlignment="1">
      <alignment horizontal="center" vertical="center"/>
    </xf>
    <xf numFmtId="0" fontId="35" fillId="2" borderId="156" xfId="0" applyFont="1" applyFill="1" applyBorder="1" applyAlignment="1">
      <alignment vertical="top"/>
    </xf>
    <xf numFmtId="3" fontId="56" fillId="2" borderId="166" xfId="0" applyNumberFormat="1" applyFont="1" applyFill="1" applyBorder="1" applyAlignment="1"/>
    <xf numFmtId="3" fontId="56" fillId="2" borderId="156" xfId="0" applyNumberFormat="1" applyFont="1" applyFill="1" applyBorder="1" applyAlignment="1"/>
    <xf numFmtId="3" fontId="56" fillId="2" borderId="135" xfId="0" applyNumberFormat="1" applyFont="1" applyFill="1" applyBorder="1" applyAlignment="1"/>
    <xf numFmtId="3" fontId="56" fillId="2" borderId="124" xfId="0" applyNumberFormat="1" applyFont="1" applyFill="1" applyBorder="1" applyAlignment="1"/>
    <xf numFmtId="0" fontId="35" fillId="0" borderId="168" xfId="4" applyFont="1" applyFill="1" applyBorder="1" applyAlignment="1">
      <alignment horizontal="left"/>
    </xf>
    <xf numFmtId="0" fontId="54" fillId="0" borderId="156" xfId="0" applyFont="1" applyBorder="1" applyAlignment="1">
      <alignment horizontal="center" vertical="center" wrapText="1"/>
    </xf>
    <xf numFmtId="3" fontId="62" fillId="0" borderId="137" xfId="0" applyNumberFormat="1" applyFont="1" applyFill="1" applyBorder="1" applyAlignment="1">
      <alignment vertical="top"/>
    </xf>
    <xf numFmtId="3" fontId="56" fillId="23" borderId="160" xfId="0" applyNumberFormat="1" applyFont="1" applyFill="1" applyBorder="1" applyAlignment="1">
      <alignment horizontal="center" vertical="center"/>
    </xf>
    <xf numFmtId="3" fontId="56" fillId="8" borderId="130" xfId="0" applyNumberFormat="1" applyFont="1" applyFill="1" applyBorder="1" applyAlignment="1">
      <alignment vertical="top"/>
    </xf>
    <xf numFmtId="3" fontId="56" fillId="8" borderId="128" xfId="0" applyNumberFormat="1" applyFont="1" applyFill="1" applyBorder="1" applyAlignment="1">
      <alignment vertical="top"/>
    </xf>
    <xf numFmtId="3" fontId="56" fillId="8" borderId="131" xfId="0" applyNumberFormat="1" applyFont="1" applyFill="1" applyBorder="1" applyAlignment="1">
      <alignment vertical="top"/>
    </xf>
    <xf numFmtId="3" fontId="56" fillId="24" borderId="145" xfId="0" applyNumberFormat="1" applyFont="1" applyFill="1" applyBorder="1" applyAlignment="1">
      <alignment vertical="top"/>
    </xf>
    <xf numFmtId="3" fontId="62" fillId="8" borderId="124" xfId="0" applyNumberFormat="1" applyFont="1" applyFill="1" applyBorder="1" applyAlignment="1"/>
    <xf numFmtId="3" fontId="62" fillId="8" borderId="135" xfId="0" applyNumberFormat="1" applyFont="1" applyFill="1" applyBorder="1" applyAlignment="1"/>
    <xf numFmtId="3" fontId="62" fillId="8" borderId="156" xfId="0" applyNumberFormat="1" applyFont="1" applyFill="1" applyBorder="1" applyAlignment="1"/>
    <xf numFmtId="3" fontId="62" fillId="24" borderId="157" xfId="0" applyNumberFormat="1" applyFont="1" applyFill="1" applyBorder="1" applyAlignment="1"/>
    <xf numFmtId="0" fontId="35" fillId="6" borderId="178" xfId="0" applyFont="1" applyFill="1" applyBorder="1" applyAlignment="1">
      <alignment vertical="top"/>
    </xf>
    <xf numFmtId="43" fontId="56" fillId="6" borderId="165" xfId="1" applyFont="1" applyFill="1" applyBorder="1" applyAlignment="1"/>
    <xf numFmtId="43" fontId="56" fillId="6" borderId="178" xfId="1" applyFont="1" applyFill="1" applyBorder="1" applyAlignment="1"/>
    <xf numFmtId="3" fontId="56" fillId="23" borderId="164" xfId="0" applyNumberFormat="1" applyFont="1" applyFill="1" applyBorder="1" applyAlignment="1"/>
    <xf numFmtId="3" fontId="60" fillId="2" borderId="167" xfId="4" applyNumberFormat="1" applyFont="1" applyFill="1" applyBorder="1" applyAlignment="1">
      <alignment vertical="top" wrapText="1"/>
    </xf>
    <xf numFmtId="3" fontId="58" fillId="0" borderId="165" xfId="0" applyNumberFormat="1" applyFont="1" applyFill="1" applyBorder="1" applyAlignment="1"/>
    <xf numFmtId="43" fontId="58" fillId="0" borderId="165" xfId="1" applyFont="1" applyFill="1" applyBorder="1" applyAlignment="1"/>
    <xf numFmtId="43" fontId="58" fillId="0" borderId="178" xfId="1" applyFont="1" applyFill="1" applyBorder="1" applyAlignment="1"/>
    <xf numFmtId="3" fontId="58" fillId="26" borderId="164" xfId="0" applyNumberFormat="1" applyFont="1" applyFill="1" applyBorder="1" applyAlignment="1"/>
    <xf numFmtId="0" fontId="35" fillId="0" borderId="161" xfId="0" applyFont="1" applyFill="1" applyBorder="1" applyAlignment="1">
      <alignment vertical="top"/>
    </xf>
    <xf numFmtId="43" fontId="62" fillId="0" borderId="165" xfId="1" applyFont="1" applyFill="1" applyBorder="1" applyAlignment="1">
      <alignment vertical="top"/>
    </xf>
    <xf numFmtId="43" fontId="62" fillId="0" borderId="178" xfId="1" applyFont="1" applyFill="1" applyBorder="1" applyAlignment="1">
      <alignment vertical="top"/>
    </xf>
    <xf numFmtId="0" fontId="35" fillId="0" borderId="167" xfId="0" applyFont="1" applyFill="1" applyBorder="1" applyAlignment="1">
      <alignment vertical="top" wrapText="1"/>
    </xf>
    <xf numFmtId="3" fontId="62" fillId="26" borderId="164" xfId="0" applyNumberFormat="1" applyFont="1" applyFill="1" applyBorder="1" applyAlignment="1">
      <alignment vertical="top"/>
    </xf>
    <xf numFmtId="0" fontId="35" fillId="0" borderId="161" xfId="0" applyFont="1" applyFill="1" applyBorder="1" applyAlignment="1">
      <alignment horizontal="left" vertical="center"/>
    </xf>
    <xf numFmtId="0" fontId="60" fillId="2" borderId="167" xfId="4" applyFont="1" applyFill="1" applyBorder="1" applyAlignment="1">
      <alignment vertical="top"/>
    </xf>
    <xf numFmtId="43" fontId="58" fillId="0" borderId="165" xfId="1" applyFont="1" applyFill="1" applyBorder="1" applyAlignment="1">
      <alignment vertical="top"/>
    </xf>
    <xf numFmtId="43" fontId="58" fillId="0" borderId="178" xfId="1" applyFont="1" applyFill="1" applyBorder="1" applyAlignment="1">
      <alignment vertical="top"/>
    </xf>
    <xf numFmtId="3" fontId="58" fillId="26" borderId="164" xfId="0" applyNumberFormat="1" applyFont="1" applyFill="1" applyBorder="1" applyAlignment="1">
      <alignment horizontal="center" vertical="top"/>
    </xf>
    <xf numFmtId="43" fontId="56" fillId="6" borderId="139" xfId="1" applyFont="1" applyFill="1" applyBorder="1" applyAlignment="1"/>
    <xf numFmtId="3" fontId="58" fillId="2" borderId="167" xfId="4" applyNumberFormat="1" applyFont="1" applyFill="1" applyBorder="1" applyAlignment="1">
      <alignment vertical="top" wrapText="1"/>
    </xf>
    <xf numFmtId="43" fontId="56" fillId="2" borderId="166" xfId="1" applyFont="1" applyFill="1" applyBorder="1" applyAlignment="1"/>
    <xf numFmtId="0" fontId="35" fillId="2" borderId="169" xfId="0" applyFont="1" applyFill="1" applyBorder="1" applyAlignment="1">
      <alignment vertical="top"/>
    </xf>
    <xf numFmtId="0" fontId="35" fillId="0" borderId="179" xfId="4" applyFont="1" applyFill="1" applyBorder="1" applyAlignment="1">
      <alignment vertical="center"/>
    </xf>
    <xf numFmtId="0" fontId="54" fillId="0" borderId="180" xfId="0" applyFont="1" applyBorder="1" applyAlignment="1">
      <alignment horizontal="center" vertical="center" wrapText="1"/>
    </xf>
    <xf numFmtId="3" fontId="62" fillId="0" borderId="173" xfId="0" applyNumberFormat="1" applyFont="1" applyFill="1" applyBorder="1" applyAlignment="1">
      <alignment vertical="top"/>
    </xf>
    <xf numFmtId="3" fontId="62" fillId="0" borderId="142" xfId="0" applyNumberFormat="1" applyFont="1" applyFill="1" applyBorder="1" applyAlignment="1">
      <alignment vertical="top"/>
    </xf>
    <xf numFmtId="43" fontId="62" fillId="0" borderId="142" xfId="1" applyFont="1" applyFill="1" applyBorder="1" applyAlignment="1">
      <alignment vertical="top"/>
    </xf>
    <xf numFmtId="0" fontId="55" fillId="8" borderId="126" xfId="0" applyFont="1" applyFill="1" applyBorder="1" applyAlignment="1">
      <alignment vertical="center" wrapText="1"/>
    </xf>
    <xf numFmtId="3" fontId="56" fillId="8" borderId="181" xfId="0" applyNumberFormat="1" applyFont="1" applyFill="1" applyBorder="1" applyAlignment="1">
      <alignment vertical="top"/>
    </xf>
    <xf numFmtId="43" fontId="58" fillId="2" borderId="165" xfId="1" applyFont="1" applyFill="1" applyBorder="1" applyAlignment="1"/>
    <xf numFmtId="43" fontId="58" fillId="2" borderId="178" xfId="1" applyFont="1" applyFill="1" applyBorder="1" applyAlignment="1"/>
    <xf numFmtId="43" fontId="62" fillId="0" borderId="170" xfId="1" applyFont="1" applyFill="1" applyBorder="1" applyAlignment="1">
      <alignment vertical="top"/>
    </xf>
    <xf numFmtId="43" fontId="62" fillId="0" borderId="183" xfId="1" applyFont="1" applyFill="1" applyBorder="1" applyAlignment="1">
      <alignment vertical="top"/>
    </xf>
    <xf numFmtId="0" fontId="0" fillId="0" borderId="137" xfId="0" applyFont="1" applyBorder="1"/>
    <xf numFmtId="43" fontId="0" fillId="0" borderId="137" xfId="1" applyFont="1" applyBorder="1"/>
    <xf numFmtId="43" fontId="0" fillId="0" borderId="138" xfId="1" applyFont="1" applyBorder="1"/>
    <xf numFmtId="43" fontId="0" fillId="0" borderId="139" xfId="1" applyFont="1" applyBorder="1"/>
    <xf numFmtId="0" fontId="35" fillId="6" borderId="177" xfId="0" applyFont="1" applyFill="1" applyBorder="1" applyAlignment="1">
      <alignment vertical="top"/>
    </xf>
    <xf numFmtId="43" fontId="56" fillId="23" borderId="162" xfId="1" applyFont="1" applyFill="1" applyBorder="1" applyAlignment="1">
      <alignment horizontal="center" vertical="center"/>
    </xf>
    <xf numFmtId="0" fontId="35" fillId="0" borderId="158" xfId="0" applyFont="1" applyFill="1" applyBorder="1" applyAlignment="1">
      <alignment horizontal="left" vertical="center"/>
    </xf>
    <xf numFmtId="43" fontId="62" fillId="0" borderId="173" xfId="1" applyFont="1" applyFill="1" applyBorder="1" applyAlignment="1">
      <alignment vertical="top"/>
    </xf>
    <xf numFmtId="43" fontId="62" fillId="0" borderId="185" xfId="1" applyFont="1" applyFill="1" applyBorder="1" applyAlignment="1">
      <alignment vertical="top"/>
    </xf>
    <xf numFmtId="0" fontId="55" fillId="8" borderId="140" xfId="0" applyFont="1" applyFill="1" applyBorder="1" applyAlignment="1">
      <alignment vertical="center" wrapText="1"/>
    </xf>
    <xf numFmtId="0" fontId="55" fillId="8" borderId="138" xfId="0" applyFont="1" applyFill="1" applyBorder="1" applyAlignment="1">
      <alignment horizontal="center" vertical="center" wrapText="1"/>
    </xf>
    <xf numFmtId="3" fontId="56" fillId="8" borderId="124" xfId="0" applyNumberFormat="1" applyFont="1" applyFill="1" applyBorder="1" applyAlignment="1">
      <alignment vertical="top"/>
    </xf>
    <xf numFmtId="3" fontId="56" fillId="8" borderId="139" xfId="0" applyNumberFormat="1" applyFont="1" applyFill="1" applyBorder="1" applyAlignment="1">
      <alignment vertical="top"/>
    </xf>
    <xf numFmtId="3" fontId="56" fillId="8" borderId="135" xfId="0" applyNumberFormat="1" applyFont="1" applyFill="1" applyBorder="1" applyAlignment="1">
      <alignment vertical="top"/>
    </xf>
    <xf numFmtId="3" fontId="56" fillId="8" borderId="156" xfId="0" applyNumberFormat="1" applyFont="1" applyFill="1" applyBorder="1" applyAlignment="1">
      <alignment vertical="top"/>
    </xf>
    <xf numFmtId="3" fontId="60" fillId="2" borderId="175" xfId="4" applyNumberFormat="1" applyFont="1" applyFill="1" applyBorder="1" applyAlignment="1">
      <alignment vertical="center" wrapText="1"/>
    </xf>
    <xf numFmtId="0" fontId="35" fillId="0" borderId="163" xfId="0" applyFont="1" applyFill="1" applyBorder="1" applyAlignment="1">
      <alignment vertical="center"/>
    </xf>
    <xf numFmtId="3" fontId="62" fillId="2" borderId="170" xfId="0" applyNumberFormat="1" applyFont="1" applyFill="1" applyBorder="1" applyAlignment="1"/>
    <xf numFmtId="43" fontId="62" fillId="2" borderId="170" xfId="1" applyFont="1" applyFill="1" applyBorder="1" applyAlignment="1"/>
    <xf numFmtId="43" fontId="62" fillId="2" borderId="183" xfId="1" applyFont="1" applyFill="1" applyBorder="1" applyAlignment="1"/>
    <xf numFmtId="0" fontId="35" fillId="0" borderId="175" xfId="0" applyFont="1" applyFill="1" applyBorder="1" applyAlignment="1">
      <alignment vertical="center" wrapText="1"/>
    </xf>
    <xf numFmtId="3" fontId="62" fillId="0" borderId="165" xfId="0" applyNumberFormat="1" applyFont="1" applyFill="1" applyBorder="1" applyAlignment="1">
      <alignment vertical="center"/>
    </xf>
    <xf numFmtId="43" fontId="62" fillId="0" borderId="165" xfId="1" applyFont="1" applyFill="1" applyBorder="1" applyAlignment="1">
      <alignment vertical="center"/>
    </xf>
    <xf numFmtId="43" fontId="62" fillId="0" borderId="178" xfId="1" applyFont="1" applyFill="1" applyBorder="1" applyAlignment="1">
      <alignment vertical="center"/>
    </xf>
    <xf numFmtId="0" fontId="60" fillId="2" borderId="175" xfId="4" applyFont="1" applyFill="1" applyBorder="1" applyAlignment="1">
      <alignment vertical="center"/>
    </xf>
    <xf numFmtId="3" fontId="58" fillId="2" borderId="138" xfId="0" applyNumberFormat="1" applyFont="1" applyFill="1" applyBorder="1" applyAlignment="1"/>
    <xf numFmtId="43" fontId="58" fillId="2" borderId="138" xfId="1" applyFont="1" applyFill="1" applyBorder="1" applyAlignment="1"/>
    <xf numFmtId="43" fontId="58" fillId="2" borderId="139" xfId="1" applyFont="1" applyFill="1" applyBorder="1" applyAlignment="1"/>
    <xf numFmtId="0" fontId="35" fillId="0" borderId="186" xfId="4" applyFont="1" applyFill="1" applyBorder="1" applyAlignment="1">
      <alignment vertical="center"/>
    </xf>
    <xf numFmtId="0" fontId="0" fillId="0" borderId="183" xfId="0" applyFont="1" applyBorder="1"/>
    <xf numFmtId="0" fontId="0" fillId="0" borderId="170" xfId="0" applyFont="1" applyBorder="1"/>
    <xf numFmtId="43" fontId="0" fillId="0" borderId="165" xfId="1" applyFont="1" applyBorder="1"/>
    <xf numFmtId="43" fontId="0" fillId="0" borderId="178" xfId="1" applyFont="1" applyBorder="1"/>
    <xf numFmtId="0" fontId="55" fillId="6" borderId="169" xfId="0" applyFont="1" applyFill="1" applyBorder="1" applyAlignment="1">
      <alignment vertical="top"/>
    </xf>
    <xf numFmtId="43" fontId="62" fillId="2" borderId="165" xfId="1" applyFont="1" applyFill="1" applyBorder="1" applyAlignment="1"/>
    <xf numFmtId="0" fontId="0" fillId="0" borderId="133" xfId="0" applyFont="1" applyBorder="1"/>
    <xf numFmtId="0" fontId="69" fillId="0" borderId="134" xfId="0" applyFont="1" applyBorder="1" applyAlignment="1">
      <alignment vertical="center" wrapText="1"/>
    </xf>
    <xf numFmtId="3" fontId="58" fillId="2" borderId="170" xfId="0" applyNumberFormat="1" applyFont="1" applyFill="1" applyBorder="1" applyAlignment="1"/>
    <xf numFmtId="43" fontId="58" fillId="2" borderId="170" xfId="1" applyFont="1" applyFill="1" applyBorder="1" applyAlignment="1"/>
    <xf numFmtId="43" fontId="58" fillId="2" borderId="183" xfId="1" applyFont="1" applyFill="1" applyBorder="1" applyAlignment="1"/>
    <xf numFmtId="0" fontId="0" fillId="0" borderId="158" xfId="0" applyFont="1" applyBorder="1"/>
    <xf numFmtId="0" fontId="69" fillId="0" borderId="141" xfId="0" applyFont="1" applyBorder="1" applyAlignment="1">
      <alignment horizontal="center" vertical="center" wrapText="1"/>
    </xf>
    <xf numFmtId="3" fontId="62" fillId="0" borderId="173" xfId="0" applyNumberFormat="1" applyFont="1" applyFill="1" applyBorder="1" applyAlignment="1">
      <alignment vertical="center"/>
    </xf>
    <xf numFmtId="43" fontId="62" fillId="0" borderId="173" xfId="1" applyFont="1" applyFill="1" applyBorder="1" applyAlignment="1">
      <alignment vertical="center"/>
    </xf>
    <xf numFmtId="43" fontId="62" fillId="0" borderId="185" xfId="1" applyFont="1" applyFill="1" applyBorder="1" applyAlignment="1">
      <alignment vertical="center"/>
    </xf>
    <xf numFmtId="3" fontId="58" fillId="24" borderId="164" xfId="0" applyNumberFormat="1" applyFont="1" applyFill="1" applyBorder="1" applyAlignment="1"/>
    <xf numFmtId="43" fontId="62" fillId="26" borderId="164" xfId="1" applyFont="1" applyFill="1" applyBorder="1" applyAlignment="1">
      <alignment horizontal="center" vertical="top"/>
    </xf>
    <xf numFmtId="0" fontId="35" fillId="2" borderId="179" xfId="0" applyFont="1" applyFill="1" applyBorder="1" applyAlignment="1">
      <alignment vertical="top" wrapText="1"/>
    </xf>
    <xf numFmtId="0" fontId="55" fillId="8" borderId="126" xfId="0" applyFont="1" applyFill="1" applyBorder="1" applyAlignment="1">
      <alignment vertical="top" wrapText="1"/>
    </xf>
    <xf numFmtId="3" fontId="62" fillId="0" borderId="142" xfId="0" applyNumberFormat="1" applyFont="1" applyFill="1" applyBorder="1" applyAlignment="1">
      <alignment vertical="center"/>
    </xf>
    <xf numFmtId="3" fontId="56" fillId="6" borderId="187" xfId="0" applyNumberFormat="1" applyFont="1" applyFill="1" applyBorder="1" applyAlignment="1"/>
    <xf numFmtId="3" fontId="58" fillId="2" borderId="165" xfId="0" applyNumberFormat="1" applyFont="1" applyFill="1" applyBorder="1" applyAlignment="1">
      <alignment vertical="center"/>
    </xf>
    <xf numFmtId="3" fontId="58" fillId="2" borderId="187" xfId="0" applyNumberFormat="1" applyFont="1" applyFill="1" applyBorder="1" applyAlignment="1">
      <alignment vertical="center"/>
    </xf>
    <xf numFmtId="0" fontId="49" fillId="0" borderId="124" xfId="0" applyFont="1" applyFill="1" applyBorder="1" applyAlignment="1">
      <alignment vertical="center"/>
    </xf>
    <xf numFmtId="3" fontId="62" fillId="2" borderId="170" xfId="0" applyNumberFormat="1" applyFont="1" applyFill="1" applyBorder="1" applyAlignment="1">
      <alignment vertical="center"/>
    </xf>
    <xf numFmtId="0" fontId="0" fillId="0" borderId="124" xfId="0" applyFont="1" applyBorder="1" applyAlignment="1">
      <alignment vertical="center"/>
    </xf>
    <xf numFmtId="0" fontId="0" fillId="0" borderId="165" xfId="0" applyFont="1" applyBorder="1" applyAlignment="1">
      <alignment vertical="center"/>
    </xf>
    <xf numFmtId="3" fontId="62" fillId="2" borderId="165" xfId="0" applyNumberFormat="1" applyFont="1" applyFill="1" applyBorder="1" applyAlignment="1">
      <alignment vertical="center"/>
    </xf>
    <xf numFmtId="3" fontId="62" fillId="0" borderId="187" xfId="0" applyNumberFormat="1" applyFont="1" applyFill="1" applyBorder="1" applyAlignment="1">
      <alignment vertical="center"/>
    </xf>
    <xf numFmtId="0" fontId="35" fillId="0" borderId="158" xfId="0" applyFont="1" applyFill="1" applyBorder="1" applyAlignment="1">
      <alignment vertical="center"/>
    </xf>
    <xf numFmtId="3" fontId="62" fillId="2" borderId="173" xfId="0" applyNumberFormat="1" applyFont="1" applyFill="1" applyBorder="1" applyAlignment="1">
      <alignment vertical="center"/>
    </xf>
    <xf numFmtId="0" fontId="0" fillId="0" borderId="125" xfId="0" applyFont="1" applyBorder="1" applyAlignment="1">
      <alignment vertical="center"/>
    </xf>
    <xf numFmtId="0" fontId="0" fillId="0" borderId="142" xfId="0" applyFont="1" applyBorder="1" applyAlignment="1">
      <alignment vertical="center"/>
    </xf>
    <xf numFmtId="3" fontId="62" fillId="0" borderId="174" xfId="0" applyNumberFormat="1" applyFont="1" applyFill="1" applyBorder="1" applyAlignment="1">
      <alignment vertical="center"/>
    </xf>
    <xf numFmtId="3" fontId="62" fillId="24" borderId="188" xfId="0" applyNumberFormat="1" applyFont="1" applyFill="1" applyBorder="1" applyAlignment="1"/>
    <xf numFmtId="3" fontId="58" fillId="27" borderId="164" xfId="0" applyNumberFormat="1" applyFont="1" applyFill="1" applyBorder="1" applyAlignment="1"/>
    <xf numFmtId="3" fontId="62" fillId="26" borderId="172" xfId="0" applyNumberFormat="1" applyFont="1" applyFill="1" applyBorder="1" applyAlignment="1">
      <alignment horizontal="center" vertical="top"/>
    </xf>
    <xf numFmtId="43" fontId="56" fillId="2" borderId="165" xfId="1" applyFont="1" applyFill="1" applyBorder="1" applyAlignment="1"/>
    <xf numFmtId="43" fontId="56" fillId="2" borderId="187" xfId="1" applyFont="1" applyFill="1" applyBorder="1" applyAlignment="1"/>
    <xf numFmtId="0" fontId="35" fillId="0" borderId="179" xfId="4" applyFont="1" applyFill="1" applyBorder="1" applyAlignment="1">
      <alignment horizontal="left"/>
    </xf>
    <xf numFmtId="43" fontId="62" fillId="0" borderId="159" xfId="1" applyFont="1" applyFill="1" applyBorder="1" applyAlignment="1">
      <alignment vertical="top"/>
    </xf>
    <xf numFmtId="168" fontId="62" fillId="0" borderId="165" xfId="1" applyNumberFormat="1" applyFont="1" applyFill="1" applyBorder="1" applyAlignment="1">
      <alignment vertical="top"/>
    </xf>
    <xf numFmtId="0" fontId="55" fillId="0" borderId="134" xfId="0" applyFont="1" applyFill="1" applyBorder="1" applyAlignment="1">
      <alignment horizontal="center" vertical="center" wrapText="1"/>
    </xf>
    <xf numFmtId="3" fontId="58" fillId="2" borderId="166" xfId="0" applyNumberFormat="1" applyFont="1" applyFill="1" applyBorder="1" applyAlignment="1"/>
    <xf numFmtId="3" fontId="56" fillId="0" borderId="165" xfId="0" applyNumberFormat="1" applyFont="1" applyFill="1" applyBorder="1" applyAlignment="1"/>
    <xf numFmtId="0" fontId="35" fillId="6" borderId="169" xfId="0" applyFont="1" applyFill="1" applyBorder="1" applyAlignment="1">
      <alignment vertical="center"/>
    </xf>
    <xf numFmtId="3" fontId="56" fillId="6" borderId="165" xfId="0" applyNumberFormat="1" applyFont="1" applyFill="1" applyBorder="1" applyAlignment="1">
      <alignment vertical="center"/>
    </xf>
    <xf numFmtId="3" fontId="56" fillId="6" borderId="178" xfId="0" applyNumberFormat="1" applyFont="1" applyFill="1" applyBorder="1" applyAlignment="1">
      <alignment vertical="center"/>
    </xf>
    <xf numFmtId="3" fontId="56" fillId="23" borderId="164" xfId="0" applyNumberFormat="1" applyFont="1" applyFill="1" applyBorder="1" applyAlignment="1">
      <alignment vertical="center"/>
    </xf>
    <xf numFmtId="3" fontId="58" fillId="2" borderId="178" xfId="0" applyNumberFormat="1" applyFont="1" applyFill="1" applyBorder="1" applyAlignment="1">
      <alignment vertical="center"/>
    </xf>
    <xf numFmtId="0" fontId="35" fillId="0" borderId="167" xfId="0" applyFont="1" applyFill="1" applyBorder="1" applyAlignment="1">
      <alignment vertical="center"/>
    </xf>
    <xf numFmtId="0" fontId="0" fillId="0" borderId="170" xfId="0" applyFont="1" applyBorder="1" applyAlignment="1">
      <alignment vertical="center"/>
    </xf>
    <xf numFmtId="3" fontId="62" fillId="0" borderId="170" xfId="0" applyNumberFormat="1" applyFont="1" applyFill="1" applyBorder="1" applyAlignment="1">
      <alignment vertical="center"/>
    </xf>
    <xf numFmtId="3" fontId="62" fillId="0" borderId="183" xfId="0" applyNumberFormat="1" applyFont="1" applyFill="1" applyBorder="1" applyAlignment="1">
      <alignment vertical="center"/>
    </xf>
    <xf numFmtId="3" fontId="62" fillId="0" borderId="189" xfId="0" applyNumberFormat="1" applyFont="1" applyFill="1" applyBorder="1" applyAlignment="1">
      <alignment vertical="center"/>
    </xf>
    <xf numFmtId="0" fontId="48" fillId="2" borderId="133" xfId="0" quotePrefix="1" applyFont="1" applyFill="1" applyBorder="1" applyAlignment="1">
      <alignment horizontal="center" vertical="center" wrapText="1"/>
    </xf>
    <xf numFmtId="3" fontId="62" fillId="24" borderId="160" xfId="0" applyNumberFormat="1" applyFont="1" applyFill="1" applyBorder="1" applyAlignment="1"/>
    <xf numFmtId="43" fontId="58" fillId="2" borderId="165" xfId="1" applyFont="1" applyFill="1" applyBorder="1" applyAlignment="1">
      <alignment vertical="center"/>
    </xf>
    <xf numFmtId="43" fontId="58" fillId="2" borderId="178" xfId="1" applyFont="1" applyFill="1" applyBorder="1" applyAlignment="1">
      <alignment vertical="center"/>
    </xf>
    <xf numFmtId="3" fontId="49" fillId="0" borderId="124" xfId="0" applyNumberFormat="1" applyFont="1" applyFill="1" applyBorder="1" applyAlignment="1">
      <alignment vertical="center"/>
    </xf>
    <xf numFmtId="3" fontId="62" fillId="26" borderId="175" xfId="0" applyNumberFormat="1" applyFont="1" applyFill="1" applyBorder="1" applyAlignment="1">
      <alignment horizontal="center" vertical="top"/>
    </xf>
    <xf numFmtId="3" fontId="62" fillId="24" borderId="190" xfId="0" applyNumberFormat="1" applyFont="1" applyFill="1" applyBorder="1" applyAlignment="1"/>
    <xf numFmtId="3" fontId="56" fillId="8" borderId="153" xfId="0" applyNumberFormat="1" applyFont="1" applyFill="1" applyBorder="1" applyAlignment="1">
      <alignment vertical="top"/>
    </xf>
    <xf numFmtId="3" fontId="62" fillId="24" borderId="163" xfId="0" applyNumberFormat="1" applyFont="1" applyFill="1" applyBorder="1" applyAlignment="1"/>
    <xf numFmtId="3" fontId="56" fillId="23" borderId="175" xfId="0" applyNumberFormat="1" applyFont="1" applyFill="1" applyBorder="1" applyAlignment="1"/>
    <xf numFmtId="0" fontId="44" fillId="2" borderId="130" xfId="0" applyFont="1" applyFill="1" applyBorder="1" applyAlignment="1">
      <alignment horizontal="left" vertical="center" wrapText="1"/>
    </xf>
    <xf numFmtId="0" fontId="0" fillId="0" borderId="130" xfId="0" applyFont="1" applyBorder="1" applyAlignment="1">
      <alignment horizontal="center" wrapText="1"/>
    </xf>
    <xf numFmtId="0" fontId="51" fillId="0" borderId="124" xfId="0" applyFont="1" applyBorder="1" applyAlignment="1">
      <alignment vertical="top"/>
    </xf>
    <xf numFmtId="0" fontId="55" fillId="0" borderId="124" xfId="0" applyFont="1" applyFill="1" applyBorder="1" applyAlignment="1">
      <alignment vertical="top"/>
    </xf>
    <xf numFmtId="0" fontId="0" fillId="0" borderId="124" xfId="0" applyFont="1" applyBorder="1" applyAlignment="1">
      <alignment horizontal="center" vertical="top" wrapText="1"/>
    </xf>
    <xf numFmtId="0" fontId="106" fillId="0" borderId="124" xfId="0" applyFont="1" applyFill="1" applyBorder="1" applyAlignment="1">
      <alignment vertical="top"/>
    </xf>
    <xf numFmtId="3" fontId="106" fillId="0" borderId="124" xfId="0" applyNumberFormat="1" applyFont="1" applyFill="1" applyBorder="1" applyAlignment="1">
      <alignment vertical="top"/>
    </xf>
    <xf numFmtId="0" fontId="73" fillId="0" borderId="124" xfId="0" applyFont="1" applyFill="1" applyBorder="1" applyAlignment="1">
      <alignment vertical="top"/>
    </xf>
    <xf numFmtId="3" fontId="53" fillId="0" borderId="124" xfId="0" applyNumberFormat="1" applyFont="1" applyBorder="1" applyAlignment="1">
      <alignment vertical="top"/>
    </xf>
    <xf numFmtId="0" fontId="0" fillId="0" borderId="165" xfId="0" applyFont="1" applyBorder="1" applyAlignment="1">
      <alignment horizontal="center" vertical="top"/>
    </xf>
    <xf numFmtId="0" fontId="69" fillId="0" borderId="124" xfId="0" applyFont="1" applyBorder="1" applyAlignment="1">
      <alignment horizontal="center" vertical="top"/>
    </xf>
    <xf numFmtId="3" fontId="69" fillId="0" borderId="124" xfId="0" applyNumberFormat="1" applyFont="1" applyBorder="1" applyAlignment="1">
      <alignment horizontal="center" vertical="top"/>
    </xf>
    <xf numFmtId="3" fontId="69" fillId="0" borderId="165" xfId="0" applyNumberFormat="1" applyFont="1" applyBorder="1" applyAlignment="1">
      <alignment vertical="top"/>
    </xf>
    <xf numFmtId="0" fontId="48" fillId="0" borderId="124" xfId="0" applyFont="1" applyFill="1" applyBorder="1" applyAlignment="1">
      <alignment vertical="top"/>
    </xf>
    <xf numFmtId="0" fontId="50" fillId="0" borderId="124" xfId="0" applyFont="1" applyBorder="1" applyAlignment="1">
      <alignment horizontal="center" vertical="top"/>
    </xf>
    <xf numFmtId="0" fontId="0" fillId="0" borderId="124" xfId="0" applyFont="1" applyFill="1" applyBorder="1" applyAlignment="1">
      <alignment horizontal="center" vertical="top" wrapText="1"/>
    </xf>
    <xf numFmtId="0" fontId="50" fillId="0" borderId="191" xfId="0" applyFont="1" applyBorder="1" applyAlignment="1">
      <alignment vertical="top"/>
    </xf>
    <xf numFmtId="0" fontId="51" fillId="0" borderId="130" xfId="0" applyFont="1" applyBorder="1" applyAlignment="1">
      <alignment vertical="top" wrapText="1"/>
    </xf>
    <xf numFmtId="0" fontId="0" fillId="0" borderId="130" xfId="0" applyFont="1" applyBorder="1" applyAlignment="1">
      <alignment vertical="top"/>
    </xf>
    <xf numFmtId="0" fontId="0" fillId="0" borderId="132" xfId="0" applyFont="1" applyBorder="1" applyAlignment="1">
      <alignment horizontal="center" vertical="top" wrapText="1"/>
    </xf>
    <xf numFmtId="0" fontId="50" fillId="0" borderId="182" xfId="0" applyFont="1" applyBorder="1" applyAlignment="1">
      <alignment vertical="top"/>
    </xf>
    <xf numFmtId="0" fontId="0" fillId="0" borderId="140" xfId="0" applyFont="1" applyBorder="1" applyAlignment="1">
      <alignment horizontal="center" vertical="top" wrapText="1"/>
    </xf>
    <xf numFmtId="0" fontId="50" fillId="0" borderId="184" xfId="0" applyFont="1" applyBorder="1" applyAlignment="1">
      <alignment vertical="top"/>
    </xf>
    <xf numFmtId="0" fontId="0" fillId="0" borderId="125" xfId="0" applyFont="1" applyBorder="1" applyAlignment="1">
      <alignment vertical="top"/>
    </xf>
    <xf numFmtId="0" fontId="0" fillId="0" borderId="144" xfId="0" applyFont="1" applyBorder="1" applyAlignment="1">
      <alignment horizontal="center" vertical="top" wrapText="1"/>
    </xf>
    <xf numFmtId="0" fontId="0" fillId="0" borderId="182" xfId="0" applyFont="1" applyBorder="1" applyAlignment="1">
      <alignment vertical="top"/>
    </xf>
    <xf numFmtId="0" fontId="0" fillId="0" borderId="133" xfId="0" applyFont="1" applyBorder="1" applyAlignment="1">
      <alignment vertical="top"/>
    </xf>
    <xf numFmtId="3" fontId="58" fillId="0" borderId="111" xfId="0" applyNumberFormat="1" applyFont="1" applyFill="1" applyBorder="1" applyAlignment="1">
      <alignment vertical="center"/>
    </xf>
    <xf numFmtId="3" fontId="58" fillId="0" borderId="111" xfId="0" applyNumberFormat="1" applyFont="1" applyFill="1" applyBorder="1" applyAlignment="1">
      <alignment horizontal="right" vertical="center"/>
    </xf>
    <xf numFmtId="3" fontId="58" fillId="59" borderId="111" xfId="0" applyNumberFormat="1" applyFont="1" applyFill="1" applyBorder="1" applyAlignment="1">
      <alignment horizontal="right" vertical="center"/>
    </xf>
    <xf numFmtId="3" fontId="58" fillId="61" borderId="111" xfId="0" applyNumberFormat="1" applyFont="1" applyFill="1" applyBorder="1" applyAlignment="1">
      <alignment horizontal="right" vertical="center"/>
    </xf>
    <xf numFmtId="3" fontId="62" fillId="0" borderId="111" xfId="0" applyNumberFormat="1" applyFont="1" applyFill="1" applyBorder="1" applyAlignment="1">
      <alignment horizontal="right" vertical="center"/>
    </xf>
    <xf numFmtId="3" fontId="62" fillId="59" borderId="111" xfId="0" applyNumberFormat="1" applyFont="1" applyFill="1" applyBorder="1" applyAlignment="1">
      <alignment horizontal="right" vertical="center"/>
    </xf>
    <xf numFmtId="3" fontId="62" fillId="61" borderId="111" xfId="0" applyNumberFormat="1" applyFont="1" applyFill="1" applyBorder="1" applyAlignment="1">
      <alignment horizontal="right" vertical="center"/>
    </xf>
    <xf numFmtId="3" fontId="59" fillId="0" borderId="111" xfId="0" applyNumberFormat="1" applyFont="1" applyFill="1" applyBorder="1" applyAlignment="1">
      <alignment vertical="center"/>
    </xf>
    <xf numFmtId="3" fontId="120" fillId="0" borderId="111" xfId="0" applyNumberFormat="1" applyFont="1" applyFill="1" applyBorder="1" applyAlignment="1">
      <alignment vertical="center"/>
    </xf>
    <xf numFmtId="3" fontId="120" fillId="0" borderId="111" xfId="0" applyNumberFormat="1" applyFont="1" applyFill="1" applyBorder="1" applyAlignment="1">
      <alignment horizontal="right" vertical="center"/>
    </xf>
    <xf numFmtId="3" fontId="120" fillId="59" borderId="111" xfId="0" applyNumberFormat="1" applyFont="1" applyFill="1" applyBorder="1" applyAlignment="1">
      <alignment horizontal="right" vertical="center"/>
    </xf>
    <xf numFmtId="3" fontId="120" fillId="61" borderId="111" xfId="0" applyNumberFormat="1" applyFont="1" applyFill="1" applyBorder="1" applyAlignment="1">
      <alignment horizontal="right" vertical="center"/>
    </xf>
    <xf numFmtId="3" fontId="120" fillId="0" borderId="111" xfId="0" applyNumberFormat="1" applyFont="1" applyFill="1" applyBorder="1" applyAlignment="1">
      <alignment vertical="top"/>
    </xf>
    <xf numFmtId="3" fontId="117" fillId="0" borderId="111" xfId="0" applyNumberFormat="1" applyFont="1" applyFill="1" applyBorder="1" applyAlignment="1">
      <alignment vertical="center"/>
    </xf>
    <xf numFmtId="3" fontId="117" fillId="59" borderId="111" xfId="0" applyNumberFormat="1" applyFont="1" applyFill="1" applyBorder="1" applyAlignment="1">
      <alignment horizontal="right" vertical="center"/>
    </xf>
    <xf numFmtId="3" fontId="117" fillId="61" borderId="111" xfId="0" applyNumberFormat="1" applyFont="1" applyFill="1" applyBorder="1" applyAlignment="1">
      <alignment horizontal="right" vertical="center"/>
    </xf>
    <xf numFmtId="3" fontId="164" fillId="0" borderId="111" xfId="0" applyNumberFormat="1" applyFont="1" applyFill="1" applyBorder="1" applyAlignment="1">
      <alignment vertical="center"/>
    </xf>
    <xf numFmtId="3" fontId="164" fillId="0" borderId="111" xfId="0" applyNumberFormat="1" applyFont="1" applyFill="1" applyBorder="1" applyAlignment="1">
      <alignment horizontal="right" vertical="center"/>
    </xf>
    <xf numFmtId="3" fontId="164" fillId="59" borderId="111" xfId="0" applyNumberFormat="1" applyFont="1" applyFill="1" applyBorder="1" applyAlignment="1">
      <alignment horizontal="right" vertical="center"/>
    </xf>
    <xf numFmtId="3" fontId="164" fillId="61" borderId="111" xfId="0" applyNumberFormat="1" applyFont="1" applyFill="1" applyBorder="1" applyAlignment="1">
      <alignment horizontal="right" vertical="center"/>
    </xf>
    <xf numFmtId="3" fontId="164" fillId="0" borderId="111" xfId="0" applyNumberFormat="1" applyFont="1" applyFill="1" applyBorder="1" applyAlignment="1">
      <alignment vertical="top"/>
    </xf>
    <xf numFmtId="3" fontId="163" fillId="0" borderId="111" xfId="0" applyNumberFormat="1" applyFont="1" applyFill="1" applyBorder="1" applyAlignment="1">
      <alignment vertical="center"/>
    </xf>
    <xf numFmtId="0" fontId="162" fillId="0" borderId="68" xfId="0" applyFont="1" applyFill="1" applyBorder="1" applyAlignment="1">
      <alignment horizontal="center" vertical="center"/>
    </xf>
    <xf numFmtId="3" fontId="56" fillId="59" borderId="112" xfId="0" applyNumberFormat="1" applyFont="1" applyFill="1" applyBorder="1" applyAlignment="1">
      <alignment vertical="center"/>
    </xf>
    <xf numFmtId="3" fontId="56" fillId="61" borderId="112" xfId="0" applyNumberFormat="1" applyFont="1" applyFill="1" applyBorder="1" applyAlignment="1">
      <alignment vertical="center"/>
    </xf>
    <xf numFmtId="0" fontId="119" fillId="0" borderId="115" xfId="0" applyFont="1" applyFill="1" applyBorder="1" applyAlignment="1">
      <alignment vertical="center" wrapText="1"/>
    </xf>
    <xf numFmtId="3" fontId="164" fillId="0" borderId="110" xfId="0" applyNumberFormat="1" applyFont="1" applyFill="1" applyBorder="1" applyAlignment="1">
      <alignment vertical="center"/>
    </xf>
    <xf numFmtId="3" fontId="164" fillId="0" borderId="110" xfId="0" applyNumberFormat="1" applyFont="1" applyFill="1" applyBorder="1" applyAlignment="1">
      <alignment horizontal="right" vertical="center"/>
    </xf>
    <xf numFmtId="3" fontId="164" fillId="59" borderId="110" xfId="0" applyNumberFormat="1" applyFont="1" applyFill="1" applyBorder="1" applyAlignment="1">
      <alignment horizontal="right" vertical="center"/>
    </xf>
    <xf numFmtId="3" fontId="164" fillId="61" borderId="110" xfId="0" applyNumberFormat="1" applyFont="1" applyFill="1" applyBorder="1" applyAlignment="1">
      <alignment horizontal="right" vertical="center"/>
    </xf>
    <xf numFmtId="3" fontId="164" fillId="0" borderId="110" xfId="0" applyNumberFormat="1" applyFont="1" applyFill="1" applyBorder="1" applyAlignment="1">
      <alignment vertical="top"/>
    </xf>
    <xf numFmtId="3" fontId="163" fillId="0" borderId="110" xfId="0" applyNumberFormat="1" applyFont="1" applyFill="1" applyBorder="1" applyAlignment="1">
      <alignment vertical="center"/>
    </xf>
    <xf numFmtId="0" fontId="120" fillId="8" borderId="192" xfId="0" applyFont="1" applyFill="1" applyBorder="1" applyAlignment="1">
      <alignment horizontal="center" vertical="center" wrapText="1"/>
    </xf>
    <xf numFmtId="3" fontId="117" fillId="8" borderId="121" xfId="0" applyNumberFormat="1" applyFont="1" applyFill="1" applyBorder="1" applyAlignment="1">
      <alignment vertical="top"/>
    </xf>
    <xf numFmtId="0" fontId="117" fillId="8" borderId="117" xfId="0" applyFont="1" applyFill="1" applyBorder="1" applyAlignment="1">
      <alignment vertical="top"/>
    </xf>
    <xf numFmtId="0" fontId="117" fillId="59" borderId="117" xfId="0" applyFont="1" applyFill="1" applyBorder="1" applyAlignment="1">
      <alignment vertical="top"/>
    </xf>
    <xf numFmtId="3" fontId="117" fillId="59" borderId="117" xfId="0" applyNumberFormat="1" applyFont="1" applyFill="1" applyBorder="1" applyAlignment="1">
      <alignment vertical="top"/>
    </xf>
    <xf numFmtId="3" fontId="117" fillId="61" borderId="117" xfId="0" applyNumberFormat="1" applyFont="1" applyFill="1" applyBorder="1" applyAlignment="1">
      <alignment vertical="top"/>
    </xf>
    <xf numFmtId="0" fontId="117" fillId="61" borderId="117" xfId="0" applyFont="1" applyFill="1" applyBorder="1" applyAlignment="1">
      <alignment vertical="top"/>
    </xf>
    <xf numFmtId="3" fontId="117" fillId="8" borderId="117" xfId="0" applyNumberFormat="1" applyFont="1" applyFill="1" applyBorder="1" applyAlignment="1">
      <alignment vertical="top"/>
    </xf>
    <xf numFmtId="0" fontId="117" fillId="8" borderId="112" xfId="0" applyFont="1" applyFill="1" applyBorder="1" applyAlignment="1">
      <alignment vertical="top"/>
    </xf>
    <xf numFmtId="3" fontId="120" fillId="23" borderId="111" xfId="0" applyNumberFormat="1" applyFont="1" applyFill="1" applyBorder="1" applyAlignment="1">
      <alignment horizontal="center" vertical="center"/>
    </xf>
    <xf numFmtId="0" fontId="128" fillId="6" borderId="113" xfId="4" applyFont="1" applyFill="1" applyBorder="1" applyAlignment="1">
      <alignment horizontal="left" vertical="center"/>
    </xf>
    <xf numFmtId="3" fontId="121" fillId="0" borderId="111" xfId="0" applyNumberFormat="1" applyFont="1" applyFill="1" applyBorder="1" applyAlignment="1">
      <alignment vertical="center"/>
    </xf>
    <xf numFmtId="3" fontId="121" fillId="0" borderId="111" xfId="0" applyNumberFormat="1" applyFont="1" applyFill="1" applyBorder="1" applyAlignment="1">
      <alignment horizontal="right" vertical="center"/>
    </xf>
    <xf numFmtId="3" fontId="121" fillId="59" borderId="111" xfId="0" applyNumberFormat="1" applyFont="1" applyFill="1" applyBorder="1" applyAlignment="1">
      <alignment horizontal="right" vertical="center"/>
    </xf>
    <xf numFmtId="3" fontId="121" fillId="61" borderId="111" xfId="0" applyNumberFormat="1" applyFont="1" applyFill="1" applyBorder="1" applyAlignment="1">
      <alignment horizontal="right" vertical="center"/>
    </xf>
    <xf numFmtId="3" fontId="121" fillId="0" borderId="111" xfId="0" applyNumberFormat="1" applyFont="1" applyFill="1" applyBorder="1" applyAlignment="1">
      <alignment vertical="top"/>
    </xf>
    <xf numFmtId="3" fontId="120" fillId="23" borderId="111" xfId="0" applyNumberFormat="1" applyFont="1" applyFill="1" applyBorder="1" applyAlignment="1">
      <alignment horizontal="right" vertical="center"/>
    </xf>
    <xf numFmtId="3" fontId="117" fillId="23" borderId="111" xfId="0" applyNumberFormat="1" applyFont="1" applyFill="1" applyBorder="1" applyAlignment="1">
      <alignment horizontal="right" vertical="center"/>
    </xf>
    <xf numFmtId="3" fontId="164" fillId="23" borderId="111" xfId="0" applyNumberFormat="1" applyFont="1" applyFill="1" applyBorder="1" applyAlignment="1">
      <alignment horizontal="right" vertical="center"/>
    </xf>
    <xf numFmtId="3" fontId="163" fillId="0" borderId="111" xfId="0" applyNumberFormat="1" applyFont="1" applyFill="1" applyBorder="1" applyAlignment="1">
      <alignment horizontal="right" vertical="center"/>
    </xf>
    <xf numFmtId="3" fontId="163" fillId="59" borderId="111" xfId="0" applyNumberFormat="1" applyFont="1" applyFill="1" applyBorder="1" applyAlignment="1">
      <alignment horizontal="right" vertical="center"/>
    </xf>
    <xf numFmtId="3" fontId="163" fillId="61" borderId="111" xfId="0" applyNumberFormat="1" applyFont="1" applyFill="1" applyBorder="1" applyAlignment="1">
      <alignment horizontal="right" vertical="center"/>
    </xf>
    <xf numFmtId="3" fontId="163" fillId="0" borderId="111" xfId="0" applyNumberFormat="1" applyFont="1" applyFill="1" applyBorder="1" applyAlignment="1">
      <alignment vertical="top"/>
    </xf>
    <xf numFmtId="3" fontId="62" fillId="8" borderId="7" xfId="0" applyNumberFormat="1" applyFont="1" applyFill="1" applyBorder="1" applyAlignment="1">
      <alignment vertical="top"/>
    </xf>
    <xf numFmtId="0" fontId="62" fillId="8" borderId="8" xfId="0" applyFont="1" applyFill="1" applyBorder="1" applyAlignment="1">
      <alignment vertical="top"/>
    </xf>
    <xf numFmtId="0" fontId="62" fillId="59" borderId="8" xfId="0" applyFont="1" applyFill="1" applyBorder="1" applyAlignment="1">
      <alignment vertical="top"/>
    </xf>
    <xf numFmtId="3" fontId="62" fillId="59" borderId="8" xfId="0" applyNumberFormat="1" applyFont="1" applyFill="1" applyBorder="1" applyAlignment="1">
      <alignment vertical="top"/>
    </xf>
    <xf numFmtId="3" fontId="62" fillId="61" borderId="8" xfId="0" applyNumberFormat="1" applyFont="1" applyFill="1" applyBorder="1" applyAlignment="1">
      <alignment vertical="top"/>
    </xf>
    <xf numFmtId="0" fontId="62" fillId="61" borderId="8" xfId="0" applyFont="1" applyFill="1" applyBorder="1" applyAlignment="1">
      <alignment vertical="top"/>
    </xf>
    <xf numFmtId="3" fontId="62" fillId="8" borderId="8" xfId="0" applyNumberFormat="1" applyFont="1" applyFill="1" applyBorder="1" applyAlignment="1">
      <alignment vertical="top"/>
    </xf>
    <xf numFmtId="0" fontId="62" fillId="8" borderId="9" xfId="0" applyFont="1" applyFill="1" applyBorder="1" applyAlignment="1">
      <alignment vertical="top"/>
    </xf>
    <xf numFmtId="3" fontId="121" fillId="0" borderId="112" xfId="0" applyNumberFormat="1" applyFont="1" applyFill="1" applyBorder="1" applyAlignment="1">
      <alignment vertical="top"/>
    </xf>
    <xf numFmtId="0" fontId="62" fillId="6" borderId="113" xfId="0" applyFont="1" applyFill="1" applyBorder="1" applyAlignment="1">
      <alignment vertical="top"/>
    </xf>
    <xf numFmtId="3" fontId="56" fillId="6" borderId="112" xfId="0" applyNumberFormat="1" applyFont="1" applyFill="1" applyBorder="1" applyAlignment="1">
      <alignment vertical="top"/>
    </xf>
    <xf numFmtId="3" fontId="56" fillId="59" borderId="112" xfId="0" applyNumberFormat="1" applyFont="1" applyFill="1" applyBorder="1" applyAlignment="1">
      <alignment vertical="top"/>
    </xf>
    <xf numFmtId="3" fontId="56" fillId="61" borderId="112" xfId="0" applyNumberFormat="1" applyFont="1" applyFill="1" applyBorder="1" applyAlignment="1">
      <alignment vertical="top"/>
    </xf>
    <xf numFmtId="3" fontId="56" fillId="23" borderId="112" xfId="0" applyNumberFormat="1" applyFont="1" applyFill="1" applyBorder="1" applyAlignment="1">
      <alignment vertical="top"/>
    </xf>
    <xf numFmtId="3" fontId="58" fillId="2" borderId="112" xfId="0" applyNumberFormat="1" applyFont="1" applyFill="1" applyBorder="1" applyAlignment="1">
      <alignment vertical="top"/>
    </xf>
    <xf numFmtId="3" fontId="58" fillId="59" borderId="112" xfId="0" applyNumberFormat="1" applyFont="1" applyFill="1" applyBorder="1" applyAlignment="1">
      <alignment vertical="top"/>
    </xf>
    <xf numFmtId="3" fontId="58" fillId="61" borderId="112" xfId="0" applyNumberFormat="1" applyFont="1" applyFill="1" applyBorder="1" applyAlignment="1">
      <alignment vertical="top"/>
    </xf>
    <xf numFmtId="3" fontId="56" fillId="26" borderId="111" xfId="0" applyNumberFormat="1" applyFont="1" applyFill="1" applyBorder="1" applyAlignment="1">
      <alignment vertical="top"/>
    </xf>
    <xf numFmtId="3" fontId="62" fillId="0" borderId="112" xfId="0" applyNumberFormat="1" applyFont="1" applyFill="1" applyBorder="1" applyAlignment="1">
      <alignment vertical="top"/>
    </xf>
    <xf numFmtId="3" fontId="62" fillId="59" borderId="112" xfId="0" applyNumberFormat="1" applyFont="1" applyFill="1" applyBorder="1" applyAlignment="1">
      <alignment vertical="top"/>
    </xf>
    <xf numFmtId="3" fontId="62" fillId="61" borderId="112" xfId="0" applyNumberFormat="1" applyFont="1" applyFill="1" applyBorder="1" applyAlignment="1">
      <alignment vertical="top"/>
    </xf>
    <xf numFmtId="3" fontId="58" fillId="0" borderId="112" xfId="0" applyNumberFormat="1" applyFont="1" applyFill="1" applyBorder="1" applyAlignment="1">
      <alignment vertical="top"/>
    </xf>
    <xf numFmtId="0" fontId="62" fillId="0" borderId="115" xfId="0" applyFont="1" applyFill="1" applyBorder="1" applyAlignment="1">
      <alignment horizontal="left" vertical="center" wrapText="1"/>
    </xf>
    <xf numFmtId="3" fontId="62" fillId="59" borderId="110" xfId="0" applyNumberFormat="1" applyFont="1" applyFill="1" applyBorder="1" applyAlignment="1">
      <alignment horizontal="right" vertical="center"/>
    </xf>
    <xf numFmtId="3" fontId="62" fillId="61" borderId="110" xfId="0" applyNumberFormat="1" applyFont="1" applyFill="1" applyBorder="1" applyAlignment="1">
      <alignment horizontal="right" vertical="center"/>
    </xf>
    <xf numFmtId="3" fontId="62" fillId="0" borderId="110" xfId="0" applyNumberFormat="1" applyFont="1" applyFill="1" applyBorder="1" applyAlignment="1">
      <alignment horizontal="right" vertical="center"/>
    </xf>
    <xf numFmtId="0" fontId="35" fillId="6" borderId="113" xfId="0" applyFont="1" applyFill="1" applyBorder="1" applyAlignment="1">
      <alignment horizontal="left" vertical="center" wrapText="1"/>
    </xf>
    <xf numFmtId="3" fontId="58" fillId="2" borderId="192" xfId="4" applyNumberFormat="1" applyFont="1" applyFill="1" applyBorder="1" applyAlignment="1">
      <alignment vertical="center" wrapText="1"/>
    </xf>
    <xf numFmtId="3" fontId="62" fillId="59" borderId="111" xfId="0" applyNumberFormat="1" applyFont="1" applyFill="1" applyBorder="1" applyAlignment="1">
      <alignment vertical="top"/>
    </xf>
    <xf numFmtId="3" fontId="62" fillId="61" borderId="111" xfId="0" applyNumberFormat="1" applyFont="1" applyFill="1" applyBorder="1" applyAlignment="1">
      <alignment vertical="top"/>
    </xf>
    <xf numFmtId="0" fontId="58" fillId="2" borderId="117" xfId="4" applyFont="1" applyFill="1" applyBorder="1" applyAlignment="1">
      <alignment vertical="top"/>
    </xf>
    <xf numFmtId="3" fontId="56" fillId="23" borderId="111" xfId="0" applyNumberFormat="1" applyFont="1" applyFill="1" applyBorder="1" applyAlignment="1">
      <alignment vertical="center"/>
    </xf>
    <xf numFmtId="3" fontId="58" fillId="33" borderId="112" xfId="0" applyNumberFormat="1" applyFont="1" applyFill="1" applyBorder="1" applyAlignment="1">
      <alignment vertical="center"/>
    </xf>
    <xf numFmtId="3" fontId="58" fillId="26" borderId="111" xfId="0" applyNumberFormat="1" applyFont="1" applyFill="1" applyBorder="1" applyAlignment="1">
      <alignment vertical="center"/>
    </xf>
    <xf numFmtId="3" fontId="62" fillId="0" borderId="112" xfId="0" applyNumberFormat="1" applyFont="1" applyFill="1" applyBorder="1" applyAlignment="1">
      <alignment vertical="center"/>
    </xf>
    <xf numFmtId="3" fontId="62" fillId="33" borderId="112" xfId="0" applyNumberFormat="1" applyFont="1" applyFill="1" applyBorder="1" applyAlignment="1">
      <alignment vertical="top"/>
    </xf>
    <xf numFmtId="3" fontId="62" fillId="26" borderId="111" xfId="0" applyNumberFormat="1" applyFont="1" applyFill="1" applyBorder="1" applyAlignment="1">
      <alignment vertical="top"/>
    </xf>
    <xf numFmtId="3" fontId="56" fillId="33" borderId="112" xfId="0" applyNumberFormat="1" applyFont="1" applyFill="1" applyBorder="1" applyAlignment="1">
      <alignment vertical="top"/>
    </xf>
    <xf numFmtId="3" fontId="58" fillId="26" borderId="111" xfId="0" applyNumberFormat="1" applyFont="1" applyFill="1" applyBorder="1" applyAlignment="1">
      <alignment vertical="top"/>
    </xf>
    <xf numFmtId="3" fontId="59" fillId="63" borderId="112" xfId="0" applyNumberFormat="1" applyFont="1" applyFill="1" applyBorder="1" applyAlignment="1">
      <alignment vertical="top"/>
    </xf>
    <xf numFmtId="3" fontId="59" fillId="26" borderId="111" xfId="0" applyNumberFormat="1" applyFont="1" applyFill="1" applyBorder="1" applyAlignment="1">
      <alignment vertical="center"/>
    </xf>
    <xf numFmtId="3" fontId="59" fillId="64" borderId="112" xfId="0" applyNumberFormat="1" applyFont="1" applyFill="1" applyBorder="1" applyAlignment="1">
      <alignment vertical="top"/>
    </xf>
    <xf numFmtId="3" fontId="59" fillId="58" borderId="112" xfId="0" applyNumberFormat="1" applyFont="1" applyFill="1" applyBorder="1" applyAlignment="1">
      <alignment vertical="center"/>
    </xf>
    <xf numFmtId="3" fontId="164" fillId="58" borderId="112" xfId="0" applyNumberFormat="1" applyFont="1" applyFill="1" applyBorder="1" applyAlignment="1">
      <alignment vertical="center"/>
    </xf>
    <xf numFmtId="3" fontId="59" fillId="66" borderId="111" xfId="0" applyNumberFormat="1" applyFont="1" applyFill="1" applyBorder="1" applyAlignment="1">
      <alignment vertical="center"/>
    </xf>
    <xf numFmtId="3" fontId="59" fillId="65" borderId="112" xfId="0" applyNumberFormat="1" applyFont="1" applyFill="1" applyBorder="1" applyAlignment="1">
      <alignment vertical="top"/>
    </xf>
    <xf numFmtId="0" fontId="135" fillId="0" borderId="113" xfId="0" applyFont="1" applyFill="1" applyBorder="1" applyAlignment="1">
      <alignment vertical="center" wrapText="1"/>
    </xf>
    <xf numFmtId="43" fontId="62" fillId="26" borderId="111" xfId="1" applyFont="1" applyFill="1" applyBorder="1" applyAlignment="1">
      <alignment vertical="top"/>
    </xf>
    <xf numFmtId="3" fontId="59" fillId="57" borderId="112" xfId="0" applyNumberFormat="1" applyFont="1" applyFill="1" applyBorder="1" applyAlignment="1">
      <alignment vertical="top"/>
    </xf>
    <xf numFmtId="3" fontId="117" fillId="57" borderId="112" xfId="0" applyNumberFormat="1" applyFont="1" applyFill="1" applyBorder="1" applyAlignment="1">
      <alignment vertical="top"/>
    </xf>
    <xf numFmtId="43" fontId="59" fillId="26" borderId="111" xfId="1" applyFont="1" applyFill="1" applyBorder="1" applyAlignment="1">
      <alignment vertical="center"/>
    </xf>
    <xf numFmtId="0" fontId="54" fillId="0" borderId="113" xfId="0" applyFont="1" applyBorder="1" applyAlignment="1">
      <alignment horizontal="center" vertical="center" wrapText="1"/>
    </xf>
    <xf numFmtId="3" fontId="62" fillId="59" borderId="112" xfId="0" applyNumberFormat="1" applyFont="1" applyFill="1" applyBorder="1" applyAlignment="1">
      <alignment horizontal="right" vertical="center"/>
    </xf>
    <xf numFmtId="3" fontId="62" fillId="0" borderId="112" xfId="0" applyNumberFormat="1" applyFont="1" applyFill="1" applyBorder="1" applyAlignment="1">
      <alignment horizontal="right" vertical="center"/>
    </xf>
    <xf numFmtId="0" fontId="59" fillId="64" borderId="113" xfId="0" applyFont="1" applyFill="1" applyBorder="1" applyAlignment="1">
      <alignment vertical="top"/>
    </xf>
    <xf numFmtId="3" fontId="164" fillId="64" borderId="112" xfId="0" applyNumberFormat="1" applyFont="1" applyFill="1" applyBorder="1" applyAlignment="1">
      <alignment vertical="top"/>
    </xf>
    <xf numFmtId="0" fontId="59" fillId="58" borderId="114" xfId="0" applyFont="1" applyFill="1" applyBorder="1" applyAlignment="1">
      <alignment vertical="center"/>
    </xf>
    <xf numFmtId="0" fontId="134" fillId="65" borderId="192" xfId="0" applyFont="1" applyFill="1" applyBorder="1"/>
    <xf numFmtId="0" fontId="59" fillId="65" borderId="113" xfId="0" applyFont="1" applyFill="1" applyBorder="1" applyAlignment="1">
      <alignment vertical="top"/>
    </xf>
    <xf numFmtId="0" fontId="62" fillId="57" borderId="114" xfId="0" applyFont="1" applyFill="1" applyBorder="1" applyAlignment="1">
      <alignment vertical="top"/>
    </xf>
    <xf numFmtId="0" fontId="62" fillId="57" borderId="113" xfId="0" applyFont="1" applyFill="1" applyBorder="1" applyAlignment="1">
      <alignment vertical="top"/>
    </xf>
    <xf numFmtId="0" fontId="121" fillId="2" borderId="122" xfId="4" applyFont="1" applyFill="1" applyBorder="1" applyAlignment="1">
      <alignment vertical="top"/>
    </xf>
    <xf numFmtId="0" fontId="119" fillId="0" borderId="25" xfId="0" applyFont="1" applyBorder="1" applyAlignment="1">
      <alignment vertical="center" wrapText="1"/>
    </xf>
    <xf numFmtId="3" fontId="164" fillId="0" borderId="12" xfId="0" applyNumberFormat="1" applyFont="1" applyFill="1" applyBorder="1" applyAlignment="1">
      <alignment vertical="center"/>
    </xf>
    <xf numFmtId="3" fontId="163" fillId="0" borderId="12" xfId="0" applyNumberFormat="1" applyFont="1" applyFill="1" applyBorder="1" applyAlignment="1">
      <alignment horizontal="right" vertical="center"/>
    </xf>
    <xf numFmtId="3" fontId="163" fillId="59" borderId="12" xfId="0" applyNumberFormat="1" applyFont="1" applyFill="1" applyBorder="1" applyAlignment="1">
      <alignment horizontal="right" vertical="center"/>
    </xf>
    <xf numFmtId="3" fontId="163" fillId="61" borderId="12" xfId="0" applyNumberFormat="1" applyFont="1" applyFill="1" applyBorder="1" applyAlignment="1">
      <alignment horizontal="right" vertical="center"/>
    </xf>
    <xf numFmtId="3" fontId="163" fillId="0" borderId="23" xfId="0" applyNumberFormat="1" applyFont="1" applyFill="1" applyBorder="1" applyAlignment="1">
      <alignment vertical="top"/>
    </xf>
    <xf numFmtId="3" fontId="163" fillId="0" borderId="12" xfId="0" applyNumberFormat="1" applyFont="1" applyFill="1" applyBorder="1" applyAlignment="1">
      <alignment vertical="center"/>
    </xf>
    <xf numFmtId="3" fontId="163" fillId="0" borderId="74" xfId="0" applyNumberFormat="1" applyFont="1" applyFill="1" applyBorder="1" applyAlignment="1">
      <alignment vertical="center"/>
    </xf>
    <xf numFmtId="0" fontId="153" fillId="2" borderId="41" xfId="0" applyFont="1" applyFill="1" applyBorder="1" applyAlignment="1">
      <alignment vertical="center" wrapText="1"/>
    </xf>
    <xf numFmtId="43" fontId="56" fillId="6" borderId="112" xfId="1" applyFont="1" applyFill="1" applyBorder="1" applyAlignment="1">
      <alignment vertical="top"/>
    </xf>
    <xf numFmtId="3" fontId="55" fillId="23" borderId="112" xfId="0" applyNumberFormat="1" applyFont="1" applyFill="1" applyBorder="1" applyAlignment="1">
      <alignment vertical="top"/>
    </xf>
    <xf numFmtId="3" fontId="58" fillId="59" borderId="112" xfId="0" applyNumberFormat="1" applyFont="1" applyFill="1" applyBorder="1" applyAlignment="1">
      <alignment vertical="center"/>
    </xf>
    <xf numFmtId="3" fontId="58" fillId="61" borderId="112" xfId="0" applyNumberFormat="1" applyFont="1" applyFill="1" applyBorder="1" applyAlignment="1">
      <alignment vertical="center"/>
    </xf>
    <xf numFmtId="43" fontId="58" fillId="33" borderId="112" xfId="1" applyFont="1" applyFill="1" applyBorder="1" applyAlignment="1">
      <alignment vertical="center"/>
    </xf>
    <xf numFmtId="3" fontId="60" fillId="27" borderId="112" xfId="0" applyNumberFormat="1" applyFont="1" applyFill="1" applyBorder="1" applyAlignment="1">
      <alignment vertical="center"/>
    </xf>
    <xf numFmtId="0" fontId="119" fillId="0" borderId="22" xfId="0" applyFont="1" applyBorder="1" applyAlignment="1">
      <alignment vertical="center" wrapText="1"/>
    </xf>
    <xf numFmtId="3" fontId="56" fillId="23" borderId="12" xfId="0" applyNumberFormat="1" applyFont="1" applyFill="1" applyBorder="1" applyAlignment="1">
      <alignment vertical="center"/>
    </xf>
    <xf numFmtId="3" fontId="131" fillId="0" borderId="47" xfId="0" applyNumberFormat="1" applyFont="1" applyFill="1" applyBorder="1" applyAlignment="1">
      <alignment vertical="center"/>
    </xf>
    <xf numFmtId="0" fontId="55" fillId="8" borderId="21" xfId="4" applyFont="1" applyFill="1" applyBorder="1" applyAlignment="1">
      <alignment horizontal="left" vertical="center" wrapText="1"/>
    </xf>
    <xf numFmtId="3" fontId="56" fillId="8" borderId="9" xfId="4" applyNumberFormat="1" applyFont="1" applyFill="1" applyBorder="1" applyAlignment="1">
      <alignment horizontal="center" vertical="center"/>
    </xf>
    <xf numFmtId="3" fontId="62" fillId="8" borderId="9" xfId="4" applyNumberFormat="1" applyFont="1" applyFill="1" applyBorder="1" applyAlignment="1">
      <alignment horizontal="right" vertical="center"/>
    </xf>
    <xf numFmtId="3" fontId="62" fillId="8" borderId="35" xfId="4" applyNumberFormat="1" applyFont="1" applyFill="1" applyBorder="1" applyAlignment="1">
      <alignment horizontal="right" vertical="center"/>
    </xf>
    <xf numFmtId="3" fontId="35" fillId="24" borderId="35" xfId="4" applyNumberFormat="1" applyFont="1" applyFill="1" applyBorder="1" applyAlignment="1">
      <alignment horizontal="right" vertical="center"/>
    </xf>
    <xf numFmtId="3" fontId="56" fillId="8" borderId="112" xfId="4" applyNumberFormat="1" applyFont="1" applyFill="1" applyBorder="1" applyAlignment="1">
      <alignment horizontal="center" vertical="center"/>
    </xf>
    <xf numFmtId="3" fontId="35" fillId="8" borderId="112" xfId="4" applyNumberFormat="1" applyFont="1" applyFill="1" applyBorder="1" applyAlignment="1">
      <alignment horizontal="right" vertical="center"/>
    </xf>
    <xf numFmtId="3" fontId="35" fillId="8" borderId="121" xfId="4" applyNumberFormat="1" applyFont="1" applyFill="1" applyBorder="1" applyAlignment="1">
      <alignment horizontal="right" vertical="center"/>
    </xf>
    <xf numFmtId="3" fontId="55" fillId="6" borderId="113" xfId="4" applyNumberFormat="1" applyFont="1" applyFill="1" applyBorder="1" applyAlignment="1">
      <alignment vertical="center"/>
    </xf>
    <xf numFmtId="3" fontId="56" fillId="6" borderId="112" xfId="4" applyNumberFormat="1" applyFont="1" applyFill="1" applyBorder="1" applyAlignment="1">
      <alignment vertical="center"/>
    </xf>
    <xf numFmtId="43" fontId="56" fillId="6" borderId="111" xfId="1" applyFont="1" applyFill="1" applyBorder="1" applyAlignment="1">
      <alignment vertical="center"/>
    </xf>
    <xf numFmtId="3" fontId="56" fillId="6" borderId="111" xfId="4" applyNumberFormat="1" applyFont="1" applyFill="1" applyBorder="1" applyAlignment="1">
      <alignment vertical="center"/>
    </xf>
    <xf numFmtId="3" fontId="120" fillId="6" borderId="111" xfId="4" applyNumberFormat="1" applyFont="1" applyFill="1" applyBorder="1" applyAlignment="1">
      <alignment vertical="center"/>
    </xf>
    <xf numFmtId="3" fontId="55" fillId="6" borderId="111" xfId="4" applyNumberFormat="1" applyFont="1" applyFill="1" applyBorder="1" applyAlignment="1">
      <alignment vertical="center"/>
    </xf>
    <xf numFmtId="3" fontId="56" fillId="23" borderId="111" xfId="4" applyNumberFormat="1" applyFont="1" applyFill="1" applyBorder="1" applyAlignment="1">
      <alignment vertical="center"/>
    </xf>
    <xf numFmtId="3" fontId="60" fillId="0" borderId="111" xfId="4" applyNumberFormat="1" applyFont="1" applyFill="1" applyBorder="1" applyAlignment="1">
      <alignment horizontal="right" vertical="center"/>
    </xf>
    <xf numFmtId="43" fontId="60" fillId="0" borderId="111" xfId="1" applyFont="1" applyFill="1" applyBorder="1" applyAlignment="1">
      <alignment horizontal="right" vertical="center"/>
    </xf>
    <xf numFmtId="3" fontId="60" fillId="0" borderId="121" xfId="4" applyNumberFormat="1" applyFont="1" applyFill="1" applyBorder="1" applyAlignment="1">
      <alignment horizontal="right" vertical="center"/>
    </xf>
    <xf numFmtId="3" fontId="35" fillId="0" borderId="111" xfId="0" applyNumberFormat="1" applyFont="1" applyFill="1" applyBorder="1" applyAlignment="1">
      <alignment vertical="top"/>
    </xf>
    <xf numFmtId="43" fontId="35" fillId="0" borderId="112" xfId="1" applyFont="1" applyFill="1" applyBorder="1" applyAlignment="1"/>
    <xf numFmtId="43" fontId="35" fillId="0" borderId="111" xfId="1" applyFont="1" applyFill="1" applyBorder="1" applyAlignment="1"/>
    <xf numFmtId="3" fontId="35" fillId="0" borderId="111" xfId="4" applyNumberFormat="1" applyFont="1" applyFill="1" applyBorder="1" applyAlignment="1"/>
    <xf numFmtId="3" fontId="35" fillId="0" borderId="121" xfId="4" applyNumberFormat="1" applyFont="1" applyFill="1" applyBorder="1" applyAlignment="1"/>
    <xf numFmtId="3" fontId="35" fillId="0" borderId="111" xfId="4" applyNumberFormat="1" applyFont="1" applyFill="1" applyBorder="1" applyAlignment="1">
      <alignment vertical="top"/>
    </xf>
    <xf numFmtId="3" fontId="62" fillId="0" borderId="111" xfId="4" applyNumberFormat="1" applyFont="1" applyFill="1" applyBorder="1" applyAlignment="1"/>
    <xf numFmtId="3" fontId="117" fillId="0" borderId="111" xfId="4" applyNumberFormat="1" applyFont="1" applyFill="1" applyBorder="1" applyAlignment="1"/>
    <xf numFmtId="3" fontId="35" fillId="26" borderId="111" xfId="4" applyNumberFormat="1" applyFont="1" applyFill="1" applyBorder="1" applyAlignment="1">
      <alignment vertical="top"/>
    </xf>
    <xf numFmtId="3" fontId="60" fillId="0" borderId="112" xfId="4" applyNumberFormat="1" applyFont="1" applyFill="1" applyBorder="1" applyAlignment="1">
      <alignment horizontal="right" vertical="center"/>
    </xf>
    <xf numFmtId="43" fontId="60" fillId="0" borderId="112" xfId="1" applyFont="1" applyFill="1" applyBorder="1" applyAlignment="1">
      <alignment horizontal="right" vertical="center"/>
    </xf>
    <xf numFmtId="43" fontId="35" fillId="0" borderId="111" xfId="1" applyFont="1" applyFill="1" applyBorder="1" applyAlignment="1">
      <alignment horizontal="right" vertical="center"/>
    </xf>
    <xf numFmtId="3" fontId="35" fillId="0" borderId="121" xfId="4" applyNumberFormat="1" applyFont="1" applyFill="1" applyBorder="1" applyAlignment="1">
      <alignment horizontal="right" vertical="center"/>
    </xf>
    <xf numFmtId="3" fontId="117" fillId="0" borderId="121" xfId="4" applyNumberFormat="1" applyFont="1" applyFill="1" applyBorder="1" applyAlignment="1">
      <alignment horizontal="right" vertical="center"/>
    </xf>
    <xf numFmtId="3" fontId="55" fillId="6" borderId="112" xfId="4" applyNumberFormat="1" applyFont="1" applyFill="1" applyBorder="1" applyAlignment="1">
      <alignment vertical="center"/>
    </xf>
    <xf numFmtId="43" fontId="55" fillId="6" borderId="111" xfId="1" applyFont="1" applyFill="1" applyBorder="1" applyAlignment="1">
      <alignment vertical="center"/>
    </xf>
    <xf numFmtId="3" fontId="119" fillId="0" borderId="111" xfId="4" applyNumberFormat="1" applyFont="1" applyFill="1" applyBorder="1" applyAlignment="1"/>
    <xf numFmtId="3" fontId="35" fillId="0" borderId="47" xfId="0" applyNumberFormat="1" applyFont="1" applyFill="1" applyBorder="1" applyAlignment="1">
      <alignment vertical="top"/>
    </xf>
    <xf numFmtId="43" fontId="35" fillId="0" borderId="72" xfId="1" applyFont="1" applyFill="1" applyBorder="1" applyAlignment="1">
      <alignment vertical="top"/>
    </xf>
    <xf numFmtId="43" fontId="35" fillId="0" borderId="47" xfId="1" applyFont="1" applyFill="1" applyBorder="1" applyAlignment="1">
      <alignment vertical="top"/>
    </xf>
    <xf numFmtId="3" fontId="35" fillId="0" borderId="47" xfId="4" applyNumberFormat="1" applyFont="1" applyFill="1" applyBorder="1" applyAlignment="1">
      <alignment vertical="top"/>
    </xf>
    <xf numFmtId="3" fontId="62" fillId="0" borderId="47" xfId="4" applyNumberFormat="1" applyFont="1" applyFill="1" applyBorder="1" applyAlignment="1">
      <alignment vertical="top"/>
    </xf>
    <xf numFmtId="3" fontId="119" fillId="0" borderId="75" xfId="4" applyNumberFormat="1" applyFont="1" applyFill="1" applyBorder="1" applyAlignment="1">
      <alignment vertical="top"/>
    </xf>
    <xf numFmtId="3" fontId="35" fillId="0" borderId="75" xfId="4" applyNumberFormat="1" applyFont="1" applyFill="1" applyBorder="1" applyAlignment="1">
      <alignment vertical="top"/>
    </xf>
    <xf numFmtId="3" fontId="35" fillId="8" borderId="7" xfId="4" applyNumberFormat="1" applyFont="1" applyFill="1" applyBorder="1" applyAlignment="1">
      <alignment horizontal="right" vertical="center"/>
    </xf>
    <xf numFmtId="3" fontId="120" fillId="8" borderId="112" xfId="4" applyNumberFormat="1" applyFont="1" applyFill="1" applyBorder="1" applyAlignment="1">
      <alignment horizontal="center" vertical="center"/>
    </xf>
    <xf numFmtId="3" fontId="119" fillId="8" borderId="112" xfId="4" applyNumberFormat="1" applyFont="1" applyFill="1" applyBorder="1" applyAlignment="1">
      <alignment horizontal="right" vertical="center"/>
    </xf>
    <xf numFmtId="3" fontId="119" fillId="24" borderId="111" xfId="4" applyNumberFormat="1" applyFont="1" applyFill="1" applyBorder="1" applyAlignment="1">
      <alignment horizontal="right" vertical="center"/>
    </xf>
    <xf numFmtId="3" fontId="120" fillId="6" borderId="113" xfId="4" applyNumberFormat="1" applyFont="1" applyFill="1" applyBorder="1" applyAlignment="1">
      <alignment vertical="center"/>
    </xf>
    <xf numFmtId="3" fontId="116" fillId="6" borderId="121" xfId="4" applyNumberFormat="1" applyFont="1" applyFill="1" applyBorder="1" applyAlignment="1">
      <alignment vertical="center"/>
    </xf>
    <xf numFmtId="3" fontId="159" fillId="0" borderId="121" xfId="4" applyNumberFormat="1" applyFont="1" applyFill="1" applyBorder="1" applyAlignment="1">
      <alignment horizontal="right" vertical="center"/>
    </xf>
    <xf numFmtId="3" fontId="119" fillId="0" borderId="112" xfId="4" applyNumberFormat="1" applyFont="1" applyFill="1" applyBorder="1" applyAlignment="1">
      <alignment vertical="top"/>
    </xf>
    <xf numFmtId="3" fontId="119" fillId="0" borderId="121" xfId="4" applyNumberFormat="1" applyFont="1" applyFill="1" applyBorder="1" applyAlignment="1">
      <alignment vertical="top"/>
    </xf>
    <xf numFmtId="43" fontId="159" fillId="0" borderId="111" xfId="1" applyFont="1" applyFill="1" applyBorder="1" applyAlignment="1">
      <alignment horizontal="right" vertical="center"/>
    </xf>
    <xf numFmtId="3" fontId="120" fillId="6" borderId="112" xfId="4" applyNumberFormat="1" applyFont="1" applyFill="1" applyBorder="1" applyAlignment="1">
      <alignment vertical="center"/>
    </xf>
    <xf numFmtId="3" fontId="119" fillId="2" borderId="112" xfId="4" applyNumberFormat="1" applyFont="1" applyFill="1" applyBorder="1" applyAlignment="1">
      <alignment vertical="top"/>
    </xf>
    <xf numFmtId="3" fontId="119" fillId="0" borderId="111" xfId="4" applyNumberFormat="1" applyFont="1" applyFill="1" applyBorder="1" applyAlignment="1">
      <alignment vertical="top" wrapText="1"/>
    </xf>
    <xf numFmtId="0" fontId="119" fillId="0" borderId="77" xfId="4" applyFont="1" applyFill="1" applyBorder="1" applyAlignment="1">
      <alignment vertical="top" wrapText="1"/>
    </xf>
    <xf numFmtId="3" fontId="119" fillId="0" borderId="72" xfId="4" applyNumberFormat="1" applyFont="1" applyFill="1" applyBorder="1" applyAlignment="1">
      <alignment vertical="top"/>
    </xf>
    <xf numFmtId="0" fontId="119" fillId="0" borderId="47" xfId="4" applyFont="1" applyFill="1" applyBorder="1" applyAlignment="1">
      <alignment vertical="top" wrapText="1"/>
    </xf>
    <xf numFmtId="3" fontId="119" fillId="0" borderId="47" xfId="4" applyNumberFormat="1" applyFont="1" applyFill="1" applyBorder="1" applyAlignment="1">
      <alignment vertical="center"/>
    </xf>
    <xf numFmtId="3" fontId="55" fillId="8" borderId="9" xfId="4" applyNumberFormat="1" applyFont="1" applyFill="1" applyBorder="1" applyAlignment="1">
      <alignment horizontal="center" vertical="center" wrapText="1"/>
    </xf>
    <xf numFmtId="3" fontId="55" fillId="23" borderId="111" xfId="4" applyNumberFormat="1" applyFont="1" applyFill="1" applyBorder="1" applyAlignment="1">
      <alignment vertical="center"/>
    </xf>
    <xf numFmtId="3" fontId="60" fillId="26" borderId="111" xfId="4" applyNumberFormat="1" applyFont="1" applyFill="1" applyBorder="1" applyAlignment="1">
      <alignment horizontal="right" vertical="center"/>
    </xf>
    <xf numFmtId="3" fontId="35" fillId="0" borderId="121" xfId="4" applyNumberFormat="1" applyFont="1" applyFill="1" applyBorder="1" applyAlignment="1">
      <alignment vertical="top"/>
    </xf>
    <xf numFmtId="3" fontId="35" fillId="0" borderId="112" xfId="4" applyNumberFormat="1" applyFont="1" applyFill="1" applyBorder="1" applyAlignment="1">
      <alignment vertical="top"/>
    </xf>
    <xf numFmtId="3" fontId="60" fillId="0" borderId="72" xfId="4" applyNumberFormat="1" applyFont="1" applyFill="1" applyBorder="1" applyAlignment="1">
      <alignment horizontal="right" vertical="center"/>
    </xf>
    <xf numFmtId="3" fontId="60" fillId="0" borderId="47" xfId="4" applyNumberFormat="1" applyFont="1" applyFill="1" applyBorder="1" applyAlignment="1">
      <alignment horizontal="right" vertical="center"/>
    </xf>
    <xf numFmtId="3" fontId="55" fillId="23" borderId="47" xfId="4" applyNumberFormat="1" applyFont="1" applyFill="1" applyBorder="1" applyAlignment="1">
      <alignment horizontal="center" vertical="center"/>
    </xf>
    <xf numFmtId="0" fontId="46" fillId="2" borderId="9" xfId="0" applyFont="1" applyFill="1" applyBorder="1" applyAlignment="1">
      <alignment horizontal="right" vertical="center"/>
    </xf>
    <xf numFmtId="0" fontId="46" fillId="2" borderId="112" xfId="0" applyFont="1" applyFill="1" applyBorder="1" applyAlignment="1">
      <alignment horizontal="right" vertical="center"/>
    </xf>
    <xf numFmtId="0" fontId="180" fillId="8" borderId="70" xfId="0" applyFont="1" applyFill="1" applyBorder="1" applyAlignment="1">
      <alignment vertical="center" wrapText="1"/>
    </xf>
    <xf numFmtId="0" fontId="180" fillId="8" borderId="70" xfId="0" applyFont="1" applyFill="1" applyBorder="1" applyAlignment="1">
      <alignment horizontal="center" vertical="center" wrapText="1"/>
    </xf>
    <xf numFmtId="0" fontId="181" fillId="8" borderId="70" xfId="0" applyFont="1" applyFill="1" applyBorder="1" applyAlignment="1">
      <alignment vertical="top"/>
    </xf>
    <xf numFmtId="3" fontId="181" fillId="8" borderId="70" xfId="0" applyNumberFormat="1" applyFont="1" applyFill="1" applyBorder="1" applyAlignment="1">
      <alignment vertical="top"/>
    </xf>
    <xf numFmtId="3" fontId="181" fillId="8" borderId="2" xfId="0" applyNumberFormat="1" applyFont="1" applyFill="1" applyBorder="1" applyAlignment="1">
      <alignment vertical="top"/>
    </xf>
    <xf numFmtId="3" fontId="180" fillId="23" borderId="2" xfId="0" applyNumberFormat="1" applyFont="1" applyFill="1" applyBorder="1" applyAlignment="1">
      <alignment vertical="top"/>
    </xf>
    <xf numFmtId="0" fontId="180" fillId="6" borderId="98" xfId="4" applyFont="1" applyFill="1" applyBorder="1" applyAlignment="1">
      <alignment horizontal="left" vertical="center"/>
    </xf>
    <xf numFmtId="0" fontId="181" fillId="6" borderId="98" xfId="0" applyFont="1" applyFill="1" applyBorder="1" applyAlignment="1">
      <alignment vertical="top"/>
    </xf>
    <xf numFmtId="3" fontId="180" fillId="6" borderId="98" xfId="0" applyNumberFormat="1" applyFont="1" applyFill="1" applyBorder="1" applyAlignment="1">
      <alignment vertical="top"/>
    </xf>
    <xf numFmtId="3" fontId="180" fillId="23" borderId="98" xfId="0" applyNumberFormat="1" applyFont="1" applyFill="1" applyBorder="1" applyAlignment="1">
      <alignment vertical="top"/>
    </xf>
    <xf numFmtId="3" fontId="183" fillId="0" borderId="98" xfId="4" applyNumberFormat="1" applyFont="1" applyFill="1" applyBorder="1" applyAlignment="1">
      <alignment vertical="center" wrapText="1"/>
    </xf>
    <xf numFmtId="3" fontId="183" fillId="0" borderId="98" xfId="0" applyNumberFormat="1" applyFont="1" applyFill="1" applyBorder="1" applyAlignment="1">
      <alignment vertical="top"/>
    </xf>
    <xf numFmtId="3" fontId="180" fillId="26" borderId="98" xfId="0" applyNumberFormat="1" applyFont="1" applyFill="1" applyBorder="1" applyAlignment="1">
      <alignment vertical="top"/>
    </xf>
    <xf numFmtId="0" fontId="184" fillId="0" borderId="98" xfId="0" applyFont="1" applyBorder="1" applyAlignment="1">
      <alignment vertical="center"/>
    </xf>
    <xf numFmtId="3" fontId="181" fillId="0" borderId="98" xfId="0" applyNumberFormat="1" applyFont="1" applyFill="1" applyBorder="1" applyAlignment="1">
      <alignment vertical="center"/>
    </xf>
    <xf numFmtId="3" fontId="181" fillId="0" borderId="98" xfId="0" applyNumberFormat="1" applyFont="1" applyFill="1" applyBorder="1" applyAlignment="1">
      <alignment vertical="top"/>
    </xf>
    <xf numFmtId="3" fontId="181" fillId="24" borderId="98" xfId="0" applyNumberFormat="1" applyFont="1" applyFill="1" applyBorder="1" applyAlignment="1">
      <alignment vertical="top"/>
    </xf>
    <xf numFmtId="0" fontId="184" fillId="0" borderId="13" xfId="0" applyFont="1" applyBorder="1" applyAlignment="1">
      <alignment vertical="center"/>
    </xf>
    <xf numFmtId="3" fontId="181" fillId="0" borderId="35" xfId="0" applyNumberFormat="1" applyFont="1" applyFill="1" applyBorder="1" applyAlignment="1">
      <alignment vertical="top"/>
    </xf>
    <xf numFmtId="3" fontId="181" fillId="24" borderId="35" xfId="0" applyNumberFormat="1" applyFont="1" applyFill="1" applyBorder="1" applyAlignment="1">
      <alignment horizontal="center" vertical="top"/>
    </xf>
    <xf numFmtId="3" fontId="183" fillId="2" borderId="98" xfId="4" applyNumberFormat="1" applyFont="1" applyFill="1" applyBorder="1" applyAlignment="1">
      <alignment vertical="center" wrapText="1"/>
    </xf>
    <xf numFmtId="3" fontId="183" fillId="0" borderId="35" xfId="0" applyNumberFormat="1" applyFont="1" applyFill="1" applyBorder="1" applyAlignment="1">
      <alignment vertical="top"/>
    </xf>
    <xf numFmtId="3" fontId="183" fillId="26" borderId="35" xfId="0" applyNumberFormat="1" applyFont="1" applyFill="1" applyBorder="1" applyAlignment="1">
      <alignment horizontal="center" vertical="top"/>
    </xf>
    <xf numFmtId="3" fontId="181" fillId="26" borderId="98" xfId="0" applyNumberFormat="1" applyFont="1" applyFill="1" applyBorder="1" applyAlignment="1">
      <alignment horizontal="center" vertical="top"/>
    </xf>
    <xf numFmtId="3" fontId="180" fillId="0" borderId="98" xfId="0" applyNumberFormat="1" applyFont="1" applyFill="1" applyBorder="1" applyAlignment="1">
      <alignment vertical="top"/>
    </xf>
    <xf numFmtId="0" fontId="184" fillId="0" borderId="47" xfId="0" applyFont="1" applyBorder="1" applyAlignment="1">
      <alignment vertical="center"/>
    </xf>
    <xf numFmtId="3" fontId="181" fillId="0" borderId="47" xfId="0" applyNumberFormat="1" applyFont="1" applyFill="1" applyBorder="1" applyAlignment="1">
      <alignment vertical="center"/>
    </xf>
    <xf numFmtId="3" fontId="181" fillId="0" borderId="47" xfId="0" applyNumberFormat="1" applyFont="1" applyFill="1" applyBorder="1" applyAlignment="1">
      <alignment vertical="top"/>
    </xf>
    <xf numFmtId="3" fontId="181" fillId="24" borderId="2" xfId="0" applyNumberFormat="1" applyFont="1" applyFill="1" applyBorder="1" applyAlignment="1">
      <alignment vertical="top"/>
    </xf>
    <xf numFmtId="0" fontId="185" fillId="6" borderId="98" xfId="0" applyFont="1" applyFill="1" applyBorder="1" applyAlignment="1">
      <alignment horizontal="center" vertical="center"/>
    </xf>
    <xf numFmtId="3" fontId="180" fillId="6" borderId="98" xfId="0" applyNumberFormat="1" applyFont="1" applyFill="1" applyBorder="1" applyAlignment="1">
      <alignment vertical="center"/>
    </xf>
    <xf numFmtId="3" fontId="180" fillId="23" borderId="98" xfId="0" applyNumberFormat="1" applyFont="1" applyFill="1" applyBorder="1" applyAlignment="1">
      <alignment vertical="center"/>
    </xf>
    <xf numFmtId="3" fontId="183" fillId="2" borderId="98" xfId="4" applyNumberFormat="1" applyFont="1" applyFill="1" applyBorder="1" applyAlignment="1">
      <alignment vertical="top" wrapText="1"/>
    </xf>
    <xf numFmtId="0" fontId="181" fillId="0" borderId="98" xfId="0" applyFont="1" applyFill="1" applyBorder="1" applyAlignment="1">
      <alignment vertical="top" wrapText="1"/>
    </xf>
    <xf numFmtId="0" fontId="183" fillId="0" borderId="98" xfId="0" applyFont="1" applyFill="1" applyBorder="1" applyAlignment="1">
      <alignment vertical="top" wrapText="1"/>
    </xf>
    <xf numFmtId="3" fontId="180" fillId="2" borderId="98" xfId="0" applyNumberFormat="1" applyFont="1" applyFill="1" applyBorder="1" applyAlignment="1">
      <alignment vertical="top"/>
    </xf>
    <xf numFmtId="3" fontId="181" fillId="2" borderId="98" xfId="0" applyNumberFormat="1" applyFont="1" applyFill="1" applyBorder="1" applyAlignment="1">
      <alignment vertical="top"/>
    </xf>
    <xf numFmtId="0" fontId="181" fillId="0" borderId="47" xfId="4" applyFont="1" applyFill="1" applyBorder="1" applyAlignment="1">
      <alignment vertical="center"/>
    </xf>
    <xf numFmtId="0" fontId="187" fillId="0" borderId="112" xfId="0" applyFont="1" applyBorder="1"/>
    <xf numFmtId="0" fontId="191" fillId="2" borderId="111" xfId="0" applyFont="1" applyFill="1" applyBorder="1" applyAlignment="1">
      <alignment vertical="center" wrapText="1"/>
    </xf>
    <xf numFmtId="0" fontId="187" fillId="0" borderId="111" xfId="0" applyFont="1" applyBorder="1"/>
    <xf numFmtId="0" fontId="185" fillId="0" borderId="111" xfId="0" applyFont="1" applyBorder="1" applyAlignment="1">
      <alignment horizontal="center" vertical="center" wrapText="1"/>
    </xf>
    <xf numFmtId="0" fontId="192" fillId="0" borderId="111" xfId="0" applyFont="1" applyBorder="1" applyAlignment="1">
      <alignment horizontal="center" vertical="center"/>
    </xf>
    <xf numFmtId="0" fontId="180" fillId="0" borderId="111" xfId="4" applyFont="1" applyBorder="1" applyAlignment="1">
      <alignment horizontal="center" vertical="center" wrapText="1"/>
    </xf>
    <xf numFmtId="0" fontId="180" fillId="33" borderId="111" xfId="4" applyFont="1" applyFill="1" applyBorder="1" applyAlignment="1">
      <alignment horizontal="center" vertical="center" wrapText="1"/>
    </xf>
    <xf numFmtId="0" fontId="182" fillId="2" borderId="113" xfId="0" applyFont="1" applyFill="1" applyBorder="1" applyAlignment="1">
      <alignment horizontal="center" vertical="top"/>
    </xf>
    <xf numFmtId="0" fontId="182" fillId="2" borderId="111" xfId="0" applyFont="1" applyFill="1" applyBorder="1" applyAlignment="1">
      <alignment horizontal="center" vertical="top"/>
    </xf>
    <xf numFmtId="0" fontId="182" fillId="2" borderId="111" xfId="0" quotePrefix="1" applyFont="1" applyFill="1" applyBorder="1" applyAlignment="1">
      <alignment horizontal="center" vertical="top"/>
    </xf>
    <xf numFmtId="0" fontId="182" fillId="27" borderId="111" xfId="0" quotePrefix="1" applyFont="1" applyFill="1" applyBorder="1" applyAlignment="1">
      <alignment horizontal="center" vertical="top"/>
    </xf>
    <xf numFmtId="0" fontId="189" fillId="8" borderId="114" xfId="4" applyFont="1" applyFill="1" applyBorder="1" applyAlignment="1">
      <alignment vertical="top"/>
    </xf>
    <xf numFmtId="0" fontId="183" fillId="57" borderId="111" xfId="4" applyFont="1" applyFill="1" applyBorder="1" applyAlignment="1">
      <alignment horizontal="left" vertical="center"/>
    </xf>
    <xf numFmtId="3" fontId="183" fillId="57" borderId="111" xfId="4" applyNumberFormat="1" applyFont="1" applyFill="1" applyBorder="1" applyAlignment="1">
      <alignment horizontal="right" vertical="center"/>
    </xf>
    <xf numFmtId="3" fontId="183" fillId="22" borderId="111" xfId="4" applyNumberFormat="1" applyFont="1" applyFill="1" applyBorder="1" applyAlignment="1">
      <alignment horizontal="right" vertical="center"/>
    </xf>
    <xf numFmtId="0" fontId="190" fillId="8" borderId="111" xfId="4" applyFont="1" applyFill="1" applyBorder="1" applyAlignment="1">
      <alignment horizontal="center" vertical="top"/>
    </xf>
    <xf numFmtId="3" fontId="187" fillId="0" borderId="111" xfId="0" applyNumberFormat="1" applyFont="1" applyBorder="1"/>
    <xf numFmtId="0" fontId="189" fillId="8" borderId="6" xfId="4" applyFont="1" applyFill="1" applyBorder="1" applyAlignment="1">
      <alignment vertical="top"/>
    </xf>
    <xf numFmtId="0" fontId="183" fillId="57" borderId="111" xfId="0" applyFont="1" applyFill="1" applyBorder="1" applyAlignment="1">
      <alignment horizontal="left" vertical="top"/>
    </xf>
    <xf numFmtId="0" fontId="194" fillId="57" borderId="111" xfId="0" quotePrefix="1" applyFont="1" applyFill="1" applyBorder="1" applyAlignment="1">
      <alignment horizontal="center" vertical="top"/>
    </xf>
    <xf numFmtId="3" fontId="183" fillId="57" borderId="111" xfId="0" quotePrefix="1" applyNumberFormat="1" applyFont="1" applyFill="1" applyBorder="1" applyAlignment="1">
      <alignment horizontal="right" vertical="top"/>
    </xf>
    <xf numFmtId="0" fontId="180" fillId="6" borderId="111" xfId="4" applyFont="1" applyFill="1" applyBorder="1" applyAlignment="1">
      <alignment horizontal="left" vertical="center"/>
    </xf>
    <xf numFmtId="3" fontId="192" fillId="6" borderId="111" xfId="4" applyNumberFormat="1" applyFont="1" applyFill="1" applyBorder="1" applyAlignment="1">
      <alignment horizontal="right" vertical="center"/>
    </xf>
    <xf numFmtId="3" fontId="192" fillId="23" borderId="111" xfId="4" applyNumberFormat="1" applyFont="1" applyFill="1" applyBorder="1" applyAlignment="1">
      <alignment horizontal="right" vertical="center"/>
    </xf>
    <xf numFmtId="3" fontId="190" fillId="8" borderId="111" xfId="4" applyNumberFormat="1" applyFont="1" applyFill="1" applyBorder="1" applyAlignment="1">
      <alignment horizontal="center" vertical="top"/>
    </xf>
    <xf numFmtId="3" fontId="195" fillId="8" borderId="111" xfId="4" applyNumberFormat="1" applyFont="1" applyFill="1" applyBorder="1" applyAlignment="1">
      <alignment vertical="top" wrapText="1"/>
    </xf>
    <xf numFmtId="3" fontId="195" fillId="8" borderId="111" xfId="4" applyNumberFormat="1" applyFont="1" applyFill="1" applyBorder="1" applyAlignment="1">
      <alignment horizontal="right" vertical="center"/>
    </xf>
    <xf numFmtId="3" fontId="195" fillId="24" borderId="111" xfId="4" applyNumberFormat="1" applyFont="1" applyFill="1" applyBorder="1" applyAlignment="1">
      <alignment horizontal="right" vertical="center"/>
    </xf>
    <xf numFmtId="0" fontId="196" fillId="0" borderId="111" xfId="0" applyFont="1" applyBorder="1"/>
    <xf numFmtId="3" fontId="197" fillId="8" borderId="111" xfId="4" applyNumberFormat="1" applyFont="1" applyFill="1" applyBorder="1" applyAlignment="1">
      <alignment vertical="top" wrapText="1"/>
    </xf>
    <xf numFmtId="3" fontId="184" fillId="8" borderId="111" xfId="0" applyNumberFormat="1" applyFont="1" applyFill="1" applyBorder="1"/>
    <xf numFmtId="3" fontId="197" fillId="24" borderId="111" xfId="4" applyNumberFormat="1" applyFont="1" applyFill="1" applyBorder="1" applyAlignment="1">
      <alignment horizontal="right" vertical="center"/>
    </xf>
    <xf numFmtId="0" fontId="197" fillId="8" borderId="111" xfId="4" applyFont="1" applyFill="1" applyBorder="1" applyAlignment="1">
      <alignment vertical="top" wrapText="1"/>
    </xf>
    <xf numFmtId="3" fontId="197" fillId="8" borderId="111" xfId="4" applyNumberFormat="1" applyFont="1" applyFill="1" applyBorder="1" applyAlignment="1">
      <alignment horizontal="right" vertical="center"/>
    </xf>
    <xf numFmtId="0" fontId="195" fillId="8" borderId="111" xfId="4" applyFont="1" applyFill="1" applyBorder="1" applyAlignment="1">
      <alignment vertical="top"/>
    </xf>
    <xf numFmtId="3" fontId="184" fillId="8" borderId="111" xfId="6" applyNumberFormat="1" applyFont="1" applyFill="1" applyBorder="1" applyAlignment="1">
      <alignment vertical="center"/>
    </xf>
    <xf numFmtId="3" fontId="183" fillId="8" borderId="111" xfId="4" applyNumberFormat="1" applyFont="1" applyFill="1" applyBorder="1" applyAlignment="1">
      <alignment vertical="top" wrapText="1"/>
    </xf>
    <xf numFmtId="3" fontId="198" fillId="8" borderId="111" xfId="6" applyNumberFormat="1" applyFont="1" applyFill="1" applyBorder="1" applyAlignment="1">
      <alignment vertical="center"/>
    </xf>
    <xf numFmtId="0" fontId="197" fillId="8" borderId="111" xfId="4" applyFont="1" applyFill="1" applyBorder="1" applyAlignment="1">
      <alignment horizontal="left" vertical="center"/>
    </xf>
    <xf numFmtId="0" fontId="183" fillId="8" borderId="111" xfId="4" applyFont="1" applyFill="1" applyBorder="1" applyAlignment="1">
      <alignment vertical="top"/>
    </xf>
    <xf numFmtId="0" fontId="189" fillId="8" borderId="20" xfId="4" applyFont="1" applyFill="1" applyBorder="1" applyAlignment="1">
      <alignment vertical="top"/>
    </xf>
    <xf numFmtId="0" fontId="197" fillId="8" borderId="111" xfId="4" applyFont="1" applyFill="1" applyBorder="1" applyAlignment="1">
      <alignment vertical="center"/>
    </xf>
    <xf numFmtId="0" fontId="192" fillId="8" borderId="111" xfId="4" applyFont="1" applyFill="1" applyBorder="1" applyAlignment="1">
      <alignment vertical="center" wrapText="1"/>
    </xf>
    <xf numFmtId="0" fontId="192" fillId="8" borderId="111" xfId="4" applyFont="1" applyFill="1" applyBorder="1" applyAlignment="1">
      <alignment horizontal="center" vertical="center" wrapText="1"/>
    </xf>
    <xf numFmtId="3" fontId="192" fillId="8" borderId="111" xfId="4" applyNumberFormat="1" applyFont="1" applyFill="1" applyBorder="1" applyAlignment="1"/>
    <xf numFmtId="3" fontId="192" fillId="8" borderId="111" xfId="4" applyNumberFormat="1" applyFont="1" applyFill="1" applyBorder="1" applyAlignment="1">
      <alignment horizontal="right" vertical="center"/>
    </xf>
    <xf numFmtId="0" fontId="192" fillId="6" borderId="111" xfId="4" applyFont="1" applyFill="1" applyBorder="1" applyAlignment="1">
      <alignment horizontal="left" vertical="center"/>
    </xf>
    <xf numFmtId="3" fontId="192" fillId="6" borderId="111" xfId="4" applyNumberFormat="1" applyFont="1" applyFill="1" applyBorder="1" applyAlignment="1"/>
    <xf numFmtId="3" fontId="180" fillId="23" borderId="111" xfId="4" applyNumberFormat="1" applyFont="1" applyFill="1" applyBorder="1" applyAlignment="1">
      <alignment horizontal="right" vertical="center"/>
    </xf>
    <xf numFmtId="0" fontId="195" fillId="2" borderId="111" xfId="4" applyFont="1" applyFill="1" applyBorder="1" applyAlignment="1">
      <alignment vertical="top"/>
    </xf>
    <xf numFmtId="3" fontId="198" fillId="0" borderId="111" xfId="6" applyNumberFormat="1" applyFont="1" applyFill="1" applyBorder="1" applyAlignment="1">
      <alignment vertical="center"/>
    </xf>
    <xf numFmtId="3" fontId="183" fillId="0" borderId="111" xfId="4" applyNumberFormat="1" applyFont="1" applyFill="1" applyBorder="1" applyAlignment="1">
      <alignment horizontal="right" vertical="center"/>
    </xf>
    <xf numFmtId="3" fontId="195" fillId="0" borderId="111" xfId="4" applyNumberFormat="1" applyFont="1" applyFill="1" applyBorder="1" applyAlignment="1">
      <alignment horizontal="right" vertical="center"/>
    </xf>
    <xf numFmtId="3" fontId="183" fillId="24" borderId="111" xfId="4" applyNumberFormat="1" applyFont="1" applyFill="1" applyBorder="1" applyAlignment="1">
      <alignment horizontal="right" vertical="center"/>
    </xf>
    <xf numFmtId="0" fontId="197" fillId="0" borderId="111" xfId="4" applyFont="1" applyFill="1" applyBorder="1" applyAlignment="1">
      <alignment vertical="top"/>
    </xf>
    <xf numFmtId="3" fontId="184" fillId="0" borderId="111" xfId="6" applyNumberFormat="1" applyFont="1" applyFill="1" applyBorder="1" applyAlignment="1">
      <alignment vertical="center"/>
    </xf>
    <xf numFmtId="3" fontId="197" fillId="0" borderId="111" xfId="4" applyNumberFormat="1" applyFont="1" applyFill="1" applyBorder="1" applyAlignment="1">
      <alignment horizontal="right" vertical="center"/>
    </xf>
    <xf numFmtId="3" fontId="197" fillId="26" borderId="111" xfId="4" applyNumberFormat="1" applyFont="1" applyFill="1" applyBorder="1" applyAlignment="1">
      <alignment horizontal="right" vertical="center"/>
    </xf>
    <xf numFmtId="3" fontId="197" fillId="26" borderId="111" xfId="4" applyNumberFormat="1" applyFont="1" applyFill="1" applyBorder="1" applyAlignment="1">
      <alignment horizontal="center" vertical="center"/>
    </xf>
    <xf numFmtId="3" fontId="198" fillId="24" borderId="111" xfId="6" applyNumberFormat="1" applyFont="1" applyFill="1" applyBorder="1" applyAlignment="1">
      <alignment vertical="center"/>
    </xf>
    <xf numFmtId="0" fontId="197" fillId="0" borderId="111" xfId="4" applyFont="1" applyFill="1" applyBorder="1" applyAlignment="1">
      <alignment vertical="center"/>
    </xf>
    <xf numFmtId="3" fontId="180" fillId="6" borderId="111" xfId="4" applyNumberFormat="1" applyFont="1" applyFill="1" applyBorder="1" applyAlignment="1">
      <alignment horizontal="right" vertical="center"/>
    </xf>
    <xf numFmtId="3" fontId="195" fillId="2" borderId="111" xfId="4" applyNumberFormat="1" applyFont="1" applyFill="1" applyBorder="1" applyAlignment="1">
      <alignment vertical="top" wrapText="1"/>
    </xf>
    <xf numFmtId="3" fontId="181" fillId="0" borderId="111" xfId="4" applyNumberFormat="1" applyFont="1" applyFill="1" applyBorder="1" applyAlignment="1">
      <alignment horizontal="right" vertical="center"/>
    </xf>
    <xf numFmtId="3" fontId="183" fillId="26" borderId="111" xfId="4" applyNumberFormat="1" applyFont="1" applyFill="1" applyBorder="1" applyAlignment="1">
      <alignment horizontal="right" vertical="center"/>
    </xf>
    <xf numFmtId="3" fontId="198" fillId="26" borderId="111" xfId="6" applyNumberFormat="1" applyFont="1" applyFill="1" applyBorder="1" applyAlignment="1">
      <alignment vertical="center"/>
    </xf>
    <xf numFmtId="0" fontId="197" fillId="0" borderId="47" xfId="4" applyFont="1" applyFill="1" applyBorder="1" applyAlignment="1">
      <alignment vertical="center"/>
    </xf>
    <xf numFmtId="3" fontId="184" fillId="0" borderId="47" xfId="6" applyNumberFormat="1" applyFont="1" applyFill="1" applyBorder="1" applyAlignment="1">
      <alignment vertical="center"/>
    </xf>
    <xf numFmtId="3" fontId="197" fillId="0" borderId="47" xfId="4" applyNumberFormat="1" applyFont="1" applyFill="1" applyBorder="1" applyAlignment="1">
      <alignment horizontal="right" vertical="center"/>
    </xf>
    <xf numFmtId="0" fontId="192" fillId="8" borderId="35" xfId="4" applyFont="1" applyFill="1" applyBorder="1" applyAlignment="1">
      <alignment vertical="center" wrapText="1"/>
    </xf>
    <xf numFmtId="0" fontId="192" fillId="8" borderId="35" xfId="4" applyFont="1" applyFill="1" applyBorder="1" applyAlignment="1">
      <alignment horizontal="center" vertical="center" wrapText="1"/>
    </xf>
    <xf numFmtId="3" fontId="197" fillId="8" borderId="35" xfId="4" applyNumberFormat="1" applyFont="1" applyFill="1" applyBorder="1" applyAlignment="1">
      <alignment horizontal="right" vertical="center"/>
    </xf>
    <xf numFmtId="3" fontId="192" fillId="8" borderId="35" xfId="4" applyNumberFormat="1" applyFont="1" applyFill="1" applyBorder="1" applyAlignment="1">
      <alignment horizontal="right" vertical="center"/>
    </xf>
    <xf numFmtId="3" fontId="192" fillId="23" borderId="35" xfId="4" applyNumberFormat="1" applyFont="1" applyFill="1" applyBorder="1" applyAlignment="1">
      <alignment horizontal="right" vertical="center"/>
    </xf>
    <xf numFmtId="0" fontId="187" fillId="0" borderId="111" xfId="0" applyFont="1" applyBorder="1" applyAlignment="1">
      <alignment vertical="center"/>
    </xf>
    <xf numFmtId="0" fontId="195" fillId="2" borderId="111" xfId="4" applyFont="1" applyFill="1" applyBorder="1" applyAlignment="1">
      <alignment vertical="center"/>
    </xf>
    <xf numFmtId="0" fontId="184" fillId="0" borderId="111" xfId="0" applyFont="1" applyBorder="1"/>
    <xf numFmtId="0" fontId="184" fillId="0" borderId="47" xfId="0" applyFont="1" applyBorder="1"/>
    <xf numFmtId="3" fontId="183" fillId="0" borderId="111" xfId="4" applyNumberFormat="1" applyFont="1" applyFill="1" applyBorder="1" applyAlignment="1">
      <alignment horizontal="center" vertical="center"/>
    </xf>
    <xf numFmtId="3" fontId="181" fillId="0" borderId="111" xfId="0" applyNumberFormat="1" applyFont="1" applyFill="1" applyBorder="1" applyAlignment="1">
      <alignment vertical="top"/>
    </xf>
    <xf numFmtId="3" fontId="181" fillId="24" borderId="111" xfId="0" applyNumberFormat="1" applyFont="1" applyFill="1" applyBorder="1" applyAlignment="1">
      <alignment vertical="center"/>
    </xf>
    <xf numFmtId="3" fontId="181" fillId="0" borderId="111" xfId="0" applyNumberFormat="1" applyFont="1" applyFill="1" applyBorder="1" applyAlignment="1">
      <alignment horizontal="right"/>
    </xf>
    <xf numFmtId="3" fontId="181" fillId="0" borderId="111" xfId="0" applyNumberFormat="1" applyFont="1" applyFill="1" applyBorder="1" applyAlignment="1">
      <alignment horizontal="right" vertical="center"/>
    </xf>
    <xf numFmtId="3" fontId="192" fillId="6" borderId="111" xfId="4" applyNumberFormat="1" applyFont="1" applyFill="1" applyBorder="1" applyAlignment="1">
      <alignment vertical="center"/>
    </xf>
    <xf numFmtId="3" fontId="0" fillId="0" borderId="71" xfId="0" applyNumberFormat="1" applyFont="1" applyBorder="1" applyAlignment="1">
      <alignment horizontal="right"/>
    </xf>
    <xf numFmtId="3" fontId="0" fillId="0" borderId="29" xfId="0" applyNumberFormat="1" applyFont="1" applyBorder="1" applyAlignment="1">
      <alignment horizontal="right"/>
    </xf>
    <xf numFmtId="3" fontId="0" fillId="0" borderId="71" xfId="0" applyNumberFormat="1" applyFont="1" applyBorder="1" applyAlignment="1">
      <alignment horizontal="right" vertical="center"/>
    </xf>
    <xf numFmtId="3" fontId="0" fillId="0" borderId="29" xfId="0" applyNumberFormat="1" applyFont="1" applyBorder="1" applyAlignment="1">
      <alignment horizontal="right" vertical="center"/>
    </xf>
    <xf numFmtId="0" fontId="69" fillId="37" borderId="8" xfId="0" applyFont="1" applyFill="1" applyBorder="1" applyAlignment="1">
      <alignment horizontal="center" vertical="center"/>
    </xf>
    <xf numFmtId="0" fontId="69" fillId="37" borderId="9" xfId="0" applyFont="1" applyFill="1" applyBorder="1" applyAlignment="1">
      <alignment horizontal="center" vertical="center"/>
    </xf>
    <xf numFmtId="3" fontId="69" fillId="37" borderId="71" xfId="0" applyNumberFormat="1" applyFont="1" applyFill="1" applyBorder="1" applyAlignment="1">
      <alignment horizontal="center" vertical="center"/>
    </xf>
    <xf numFmtId="3" fontId="69" fillId="37" borderId="29" xfId="0" applyNumberFormat="1" applyFont="1" applyFill="1" applyBorder="1" applyAlignment="1">
      <alignment horizontal="center" vertical="center"/>
    </xf>
    <xf numFmtId="3" fontId="2" fillId="0" borderId="71" xfId="0" applyNumberFormat="1" applyFont="1" applyBorder="1" applyAlignment="1">
      <alignment horizontal="right" vertical="center"/>
    </xf>
    <xf numFmtId="3" fontId="2" fillId="0" borderId="29" xfId="0" applyNumberFormat="1" applyFont="1" applyBorder="1" applyAlignment="1">
      <alignment horizontal="right" vertical="center"/>
    </xf>
    <xf numFmtId="0" fontId="86" fillId="14" borderId="89" xfId="0" applyFont="1" applyFill="1" applyBorder="1" applyAlignment="1">
      <alignment horizontal="center" vertical="center"/>
    </xf>
    <xf numFmtId="0" fontId="86" fillId="14" borderId="51" xfId="0" applyFont="1" applyFill="1" applyBorder="1" applyAlignment="1">
      <alignment horizontal="center" vertical="center"/>
    </xf>
    <xf numFmtId="0" fontId="87" fillId="0" borderId="0" xfId="0" applyFont="1" applyBorder="1" applyAlignment="1">
      <alignment horizontal="left" vertical="center"/>
    </xf>
    <xf numFmtId="0" fontId="15" fillId="0" borderId="31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69" fillId="0" borderId="71" xfId="0" applyFont="1" applyBorder="1" applyAlignment="1">
      <alignment horizontal="center" vertical="center" wrapText="1"/>
    </xf>
    <xf numFmtId="0" fontId="69" fillId="0" borderId="29" xfId="0" applyFont="1" applyBorder="1" applyAlignment="1">
      <alignment horizontal="center" vertical="center" wrapText="1"/>
    </xf>
    <xf numFmtId="0" fontId="113" fillId="0" borderId="42" xfId="4" applyFont="1" applyFill="1" applyBorder="1" applyAlignment="1">
      <alignment horizontal="center" vertical="center" wrapText="1"/>
    </xf>
    <xf numFmtId="0" fontId="113" fillId="0" borderId="43" xfId="4" applyFont="1" applyFill="1" applyBorder="1" applyAlignment="1">
      <alignment horizontal="center" vertical="center" wrapText="1"/>
    </xf>
    <xf numFmtId="0" fontId="113" fillId="0" borderId="41" xfId="4" applyFont="1" applyFill="1" applyBorder="1" applyAlignment="1">
      <alignment horizontal="center" vertical="center" wrapText="1"/>
    </xf>
    <xf numFmtId="0" fontId="49" fillId="0" borderId="42" xfId="4" applyFont="1" applyFill="1" applyBorder="1" applyAlignment="1">
      <alignment horizontal="center" vertical="center" wrapText="1"/>
    </xf>
    <xf numFmtId="0" fontId="49" fillId="0" borderId="43" xfId="4" applyFont="1" applyFill="1" applyBorder="1" applyAlignment="1">
      <alignment horizontal="center" vertical="center" wrapText="1"/>
    </xf>
    <xf numFmtId="0" fontId="49" fillId="0" borderId="41" xfId="4" applyFont="1" applyFill="1" applyBorder="1" applyAlignment="1">
      <alignment horizontal="center" vertical="center" wrapText="1"/>
    </xf>
    <xf numFmtId="0" fontId="49" fillId="0" borderId="66" xfId="4" applyFont="1" applyFill="1" applyBorder="1" applyAlignment="1">
      <alignment horizontal="center" vertical="center" wrapText="1"/>
    </xf>
    <xf numFmtId="0" fontId="49" fillId="0" borderId="67" xfId="4" applyFont="1" applyFill="1" applyBorder="1" applyAlignment="1">
      <alignment horizontal="center" vertical="center" wrapText="1"/>
    </xf>
    <xf numFmtId="0" fontId="49" fillId="0" borderId="69" xfId="4" applyFont="1" applyFill="1" applyBorder="1" applyAlignment="1">
      <alignment horizontal="center" vertical="center" wrapText="1"/>
    </xf>
    <xf numFmtId="3" fontId="69" fillId="0" borderId="71" xfId="0" applyNumberFormat="1" applyFont="1" applyBorder="1" applyAlignment="1">
      <alignment horizontal="right" vertical="center"/>
    </xf>
    <xf numFmtId="3" fontId="69" fillId="0" borderId="29" xfId="0" applyNumberFormat="1" applyFont="1" applyBorder="1" applyAlignment="1">
      <alignment horizontal="right" vertical="center"/>
    </xf>
    <xf numFmtId="167" fontId="89" fillId="13" borderId="71" xfId="2" applyNumberFormat="1" applyFont="1" applyFill="1" applyBorder="1" applyAlignment="1">
      <alignment horizontal="center" vertical="center"/>
    </xf>
    <xf numFmtId="167" fontId="89" fillId="13" borderId="31" xfId="2" applyNumberFormat="1" applyFont="1" applyFill="1" applyBorder="1" applyAlignment="1">
      <alignment horizontal="center" vertical="center"/>
    </xf>
    <xf numFmtId="167" fontId="89" fillId="13" borderId="29" xfId="2" applyNumberFormat="1" applyFont="1" applyFill="1" applyBorder="1" applyAlignment="1">
      <alignment horizontal="center" vertical="center"/>
    </xf>
    <xf numFmtId="0" fontId="48" fillId="0" borderId="5" xfId="4" applyFont="1" applyBorder="1" applyAlignment="1">
      <alignment horizontal="center" vertical="center" wrapText="1"/>
    </xf>
    <xf numFmtId="0" fontId="48" fillId="0" borderId="11" xfId="4" applyFont="1" applyBorder="1" applyAlignment="1">
      <alignment horizontal="center" vertical="center" wrapText="1"/>
    </xf>
    <xf numFmtId="0" fontId="48" fillId="0" borderId="25" xfId="4" applyFont="1" applyBorder="1" applyAlignment="1">
      <alignment horizontal="center" vertical="center" wrapText="1"/>
    </xf>
    <xf numFmtId="0" fontId="52" fillId="0" borderId="42" xfId="4" applyFont="1" applyFill="1" applyBorder="1" applyAlignment="1">
      <alignment horizontal="center" vertical="center" wrapText="1"/>
    </xf>
    <xf numFmtId="0" fontId="52" fillId="0" borderId="43" xfId="4" applyFont="1" applyFill="1" applyBorder="1" applyAlignment="1">
      <alignment horizontal="center" vertical="center" wrapText="1"/>
    </xf>
    <xf numFmtId="0" fontId="52" fillId="0" borderId="41" xfId="4" applyFont="1" applyFill="1" applyBorder="1" applyAlignment="1">
      <alignment horizontal="center" vertical="center" wrapText="1"/>
    </xf>
    <xf numFmtId="0" fontId="81" fillId="2" borderId="0" xfId="3" applyFont="1" applyFill="1" applyBorder="1" applyAlignment="1">
      <alignment horizontal="center" vertical="center" wrapText="1"/>
    </xf>
    <xf numFmtId="0" fontId="82" fillId="2" borderId="0" xfId="0" applyFont="1" applyFill="1" applyBorder="1" applyAlignment="1">
      <alignment horizontal="center" wrapText="1"/>
    </xf>
    <xf numFmtId="0" fontId="48" fillId="0" borderId="5" xfId="4" applyFont="1" applyBorder="1" applyAlignment="1">
      <alignment horizontal="center" vertical="center"/>
    </xf>
    <xf numFmtId="0" fontId="48" fillId="0" borderId="11" xfId="4" applyFont="1" applyBorder="1" applyAlignment="1">
      <alignment horizontal="center" vertical="center"/>
    </xf>
    <xf numFmtId="0" fontId="48" fillId="0" borderId="25" xfId="4" applyFont="1" applyBorder="1" applyAlignment="1">
      <alignment horizontal="center" vertical="center"/>
    </xf>
    <xf numFmtId="0" fontId="50" fillId="0" borderId="5" xfId="4" applyFont="1" applyBorder="1" applyAlignment="1">
      <alignment horizontal="center" vertical="center" wrapText="1"/>
    </xf>
    <xf numFmtId="0" fontId="50" fillId="0" borderId="11" xfId="4" applyFont="1" applyBorder="1" applyAlignment="1">
      <alignment horizontal="center" vertical="center" wrapText="1"/>
    </xf>
    <xf numFmtId="0" fontId="50" fillId="0" borderId="25" xfId="4" applyFont="1" applyBorder="1" applyAlignment="1">
      <alignment horizontal="center" vertical="center" wrapText="1"/>
    </xf>
    <xf numFmtId="0" fontId="50" fillId="0" borderId="1" xfId="4" applyFont="1" applyBorder="1" applyAlignment="1">
      <alignment horizontal="center" vertical="center" wrapText="1"/>
    </xf>
    <xf numFmtId="0" fontId="50" fillId="0" borderId="26" xfId="4" applyFont="1" applyBorder="1" applyAlignment="1">
      <alignment horizontal="center" vertical="center" wrapText="1"/>
    </xf>
    <xf numFmtId="0" fontId="50" fillId="0" borderId="68" xfId="4" applyFont="1" applyBorder="1" applyAlignment="1">
      <alignment horizontal="center" vertical="center" wrapText="1"/>
    </xf>
    <xf numFmtId="0" fontId="49" fillId="0" borderId="15" xfId="4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50" fillId="0" borderId="15" xfId="4" applyFont="1" applyBorder="1" applyAlignment="1">
      <alignment horizontal="center" vertical="center" wrapText="1"/>
    </xf>
    <xf numFmtId="0" fontId="50" fillId="0" borderId="13" xfId="4" applyFont="1" applyBorder="1" applyAlignment="1">
      <alignment horizontal="center" vertical="center" wrapText="1"/>
    </xf>
    <xf numFmtId="0" fontId="50" fillId="0" borderId="12" xfId="4" applyFont="1" applyBorder="1" applyAlignment="1">
      <alignment horizontal="center" vertical="center" wrapText="1"/>
    </xf>
    <xf numFmtId="0" fontId="56" fillId="0" borderId="15" xfId="4" applyFont="1" applyBorder="1" applyAlignment="1">
      <alignment horizontal="center" vertical="center" wrapText="1"/>
    </xf>
    <xf numFmtId="0" fontId="56" fillId="0" borderId="13" xfId="4" applyFont="1" applyBorder="1" applyAlignment="1">
      <alignment horizontal="center" vertical="center" wrapText="1"/>
    </xf>
    <xf numFmtId="0" fontId="56" fillId="0" borderId="12" xfId="4" applyFont="1" applyBorder="1" applyAlignment="1">
      <alignment horizontal="center" vertical="center" wrapText="1"/>
    </xf>
    <xf numFmtId="0" fontId="49" fillId="0" borderId="2" xfId="4" applyFont="1" applyBorder="1" applyAlignment="1">
      <alignment horizontal="center" vertical="center" wrapText="1"/>
    </xf>
    <xf numFmtId="0" fontId="53" fillId="0" borderId="10" xfId="6" applyFont="1" applyBorder="1" applyAlignment="1">
      <alignment horizontal="center" vertical="center" wrapText="1"/>
    </xf>
    <xf numFmtId="0" fontId="53" fillId="0" borderId="74" xfId="6" applyFont="1" applyBorder="1" applyAlignment="1">
      <alignment horizontal="center" vertical="center" wrapText="1"/>
    </xf>
    <xf numFmtId="0" fontId="48" fillId="0" borderId="15" xfId="4" applyFont="1" applyBorder="1" applyAlignment="1">
      <alignment horizontal="center" vertical="center" wrapText="1"/>
    </xf>
    <xf numFmtId="0" fontId="53" fillId="0" borderId="13" xfId="6" applyFont="1" applyBorder="1" applyAlignment="1">
      <alignment horizontal="center" vertical="center" wrapText="1"/>
    </xf>
    <xf numFmtId="0" fontId="53" fillId="0" borderId="12" xfId="6" applyFont="1" applyBorder="1" applyAlignment="1">
      <alignment horizontal="center" vertical="center" wrapText="1"/>
    </xf>
    <xf numFmtId="0" fontId="51" fillId="0" borderId="15" xfId="4" applyFont="1" applyBorder="1" applyAlignment="1">
      <alignment horizontal="center" vertical="center" wrapText="1"/>
    </xf>
    <xf numFmtId="0" fontId="51" fillId="0" borderId="13" xfId="4" applyFont="1" applyBorder="1" applyAlignment="1">
      <alignment horizontal="center" vertical="center" wrapText="1"/>
    </xf>
    <xf numFmtId="0" fontId="51" fillId="0" borderId="12" xfId="4" applyFont="1" applyBorder="1" applyAlignment="1">
      <alignment horizontal="center" vertical="center" wrapText="1"/>
    </xf>
    <xf numFmtId="0" fontId="51" fillId="0" borderId="2" xfId="4" applyFont="1" applyBorder="1" applyAlignment="1">
      <alignment horizontal="center" vertical="center" wrapText="1"/>
    </xf>
    <xf numFmtId="0" fontId="51" fillId="0" borderId="3" xfId="4" applyFont="1" applyBorder="1" applyAlignment="1">
      <alignment horizontal="center" vertical="center" wrapText="1"/>
    </xf>
    <xf numFmtId="0" fontId="51" fillId="0" borderId="66" xfId="4" applyFont="1" applyBorder="1" applyAlignment="1">
      <alignment horizontal="center" vertical="center" wrapText="1"/>
    </xf>
    <xf numFmtId="0" fontId="51" fillId="0" borderId="10" xfId="4" applyFont="1" applyBorder="1" applyAlignment="1">
      <alignment horizontal="center" vertical="center" wrapText="1"/>
    </xf>
    <xf numFmtId="0" fontId="51" fillId="0" borderId="0" xfId="4" applyFont="1" applyBorder="1" applyAlignment="1">
      <alignment horizontal="center" vertical="center" wrapText="1"/>
    </xf>
    <xf numFmtId="0" fontId="51" fillId="0" borderId="67" xfId="4" applyFont="1" applyBorder="1" applyAlignment="1">
      <alignment horizontal="center" vertical="center" wrapText="1"/>
    </xf>
    <xf numFmtId="0" fontId="51" fillId="0" borderId="74" xfId="4" applyFont="1" applyBorder="1" applyAlignment="1">
      <alignment horizontal="center" vertical="center" wrapText="1"/>
    </xf>
    <xf numFmtId="0" fontId="51" fillId="0" borderId="24" xfId="4" applyFont="1" applyBorder="1" applyAlignment="1">
      <alignment horizontal="center" vertical="center" wrapText="1"/>
    </xf>
    <xf numFmtId="0" fontId="51" fillId="0" borderId="69" xfId="4" applyFont="1" applyBorder="1" applyAlignment="1">
      <alignment horizontal="center" vertical="center" wrapText="1"/>
    </xf>
    <xf numFmtId="0" fontId="177" fillId="20" borderId="121" xfId="5" applyFont="1" applyFill="1" applyBorder="1" applyAlignment="1">
      <alignment horizontal="center" vertical="center"/>
    </xf>
    <xf numFmtId="0" fontId="177" fillId="20" borderId="117" xfId="5" applyFont="1" applyFill="1" applyBorder="1" applyAlignment="1">
      <alignment horizontal="center" vertical="center"/>
    </xf>
    <xf numFmtId="0" fontId="177" fillId="20" borderId="112" xfId="5" applyFont="1" applyFill="1" applyBorder="1" applyAlignment="1">
      <alignment horizontal="center" vertical="center"/>
    </xf>
    <xf numFmtId="0" fontId="175" fillId="0" borderId="121" xfId="5" applyFont="1" applyBorder="1" applyAlignment="1">
      <alignment horizontal="left" vertical="center" wrapText="1"/>
    </xf>
    <xf numFmtId="0" fontId="175" fillId="0" borderId="117" xfId="5" applyFont="1" applyBorder="1" applyAlignment="1">
      <alignment horizontal="left" vertical="center" wrapText="1"/>
    </xf>
    <xf numFmtId="0" fontId="175" fillId="0" borderId="112" xfId="5" applyFont="1" applyBorder="1" applyAlignment="1">
      <alignment horizontal="left" vertical="center" wrapText="1"/>
    </xf>
    <xf numFmtId="0" fontId="174" fillId="0" borderId="121" xfId="5" applyFont="1" applyBorder="1" applyAlignment="1">
      <alignment horizontal="left" vertical="center" wrapText="1"/>
    </xf>
    <xf numFmtId="0" fontId="174" fillId="0" borderId="117" xfId="5" applyFont="1" applyBorder="1" applyAlignment="1">
      <alignment horizontal="left" vertical="center" wrapText="1"/>
    </xf>
    <xf numFmtId="0" fontId="174" fillId="0" borderId="112" xfId="5" applyFont="1" applyBorder="1" applyAlignment="1">
      <alignment horizontal="left" vertical="center" wrapText="1"/>
    </xf>
    <xf numFmtId="0" fontId="135" fillId="0" borderId="120" xfId="0" applyFont="1" applyBorder="1" applyAlignment="1">
      <alignment horizontal="center"/>
    </xf>
    <xf numFmtId="0" fontId="135" fillId="0" borderId="116" xfId="0" applyFont="1" applyBorder="1" applyAlignment="1">
      <alignment horizontal="center"/>
    </xf>
    <xf numFmtId="0" fontId="170" fillId="0" borderId="8" xfId="0" applyFont="1" applyBorder="1" applyAlignment="1">
      <alignment horizontal="center"/>
    </xf>
    <xf numFmtId="0" fontId="172" fillId="0" borderId="121" xfId="5" applyFont="1" applyBorder="1" applyAlignment="1">
      <alignment horizontal="center" vertical="center" wrapText="1"/>
    </xf>
    <xf numFmtId="0" fontId="172" fillId="0" borderId="117" xfId="5" applyFont="1" applyBorder="1" applyAlignment="1">
      <alignment horizontal="center" vertical="center" wrapText="1"/>
    </xf>
    <xf numFmtId="0" fontId="172" fillId="0" borderId="112" xfId="5" applyFont="1" applyBorder="1" applyAlignment="1">
      <alignment horizontal="center" vertical="center" wrapText="1"/>
    </xf>
    <xf numFmtId="0" fontId="14" fillId="15" borderId="4" xfId="0" applyFont="1" applyFill="1" applyBorder="1" applyAlignment="1">
      <alignment horizontal="center" vertical="center" wrapText="1"/>
    </xf>
    <xf numFmtId="0" fontId="14" fillId="15" borderId="23" xfId="0" applyFont="1" applyFill="1" applyBorder="1" applyAlignment="1">
      <alignment horizontal="center" vertical="center" wrapText="1"/>
    </xf>
    <xf numFmtId="0" fontId="14" fillId="16" borderId="4" xfId="0" applyFont="1" applyFill="1" applyBorder="1" applyAlignment="1">
      <alignment horizontal="center" wrapText="1"/>
    </xf>
    <xf numFmtId="0" fontId="14" fillId="16" borderId="23" xfId="0" applyFont="1" applyFill="1" applyBorder="1" applyAlignment="1">
      <alignment horizontal="center" wrapText="1"/>
    </xf>
    <xf numFmtId="3" fontId="17" fillId="2" borderId="1" xfId="0" applyNumberFormat="1" applyFont="1" applyFill="1" applyBorder="1" applyAlignment="1">
      <alignment horizontal="center" vertical="center" wrapText="1"/>
    </xf>
    <xf numFmtId="3" fontId="17" fillId="2" borderId="3" xfId="0" applyNumberFormat="1" applyFont="1" applyFill="1" applyBorder="1" applyAlignment="1">
      <alignment horizontal="center" vertical="center" wrapText="1"/>
    </xf>
    <xf numFmtId="3" fontId="17" fillId="2" borderId="26" xfId="0" applyNumberFormat="1" applyFont="1" applyFill="1" applyBorder="1" applyAlignment="1">
      <alignment horizontal="center" vertical="center" wrapText="1"/>
    </xf>
    <xf numFmtId="3" fontId="17" fillId="2" borderId="0" xfId="0" applyNumberFormat="1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 wrapText="1"/>
    </xf>
    <xf numFmtId="3" fontId="22" fillId="10" borderId="106" xfId="0" applyNumberFormat="1" applyFont="1" applyFill="1" applyBorder="1" applyAlignment="1">
      <alignment horizontal="center" vertical="center" wrapText="1"/>
    </xf>
    <xf numFmtId="0" fontId="7" fillId="10" borderId="11" xfId="0" applyFont="1" applyFill="1" applyBorder="1" applyAlignment="1">
      <alignment horizontal="center" vertical="center" wrapText="1"/>
    </xf>
    <xf numFmtId="0" fontId="7" fillId="10" borderId="21" xfId="0" applyFont="1" applyFill="1" applyBorder="1" applyAlignment="1">
      <alignment horizontal="center" vertical="center" wrapText="1"/>
    </xf>
    <xf numFmtId="3" fontId="22" fillId="10" borderId="33" xfId="0" applyNumberFormat="1" applyFont="1" applyFill="1" applyBorder="1" applyAlignment="1">
      <alignment horizontal="center" vertical="center" wrapText="1"/>
    </xf>
    <xf numFmtId="0" fontId="7" fillId="10" borderId="25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/>
    </xf>
    <xf numFmtId="0" fontId="13" fillId="0" borderId="42" xfId="0" applyFont="1" applyBorder="1" applyAlignment="1">
      <alignment horizontal="center" vertical="center" wrapText="1"/>
    </xf>
    <xf numFmtId="0" fontId="13" fillId="0" borderId="43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 wrapText="1"/>
    </xf>
    <xf numFmtId="3" fontId="120" fillId="26" borderId="63" xfId="4" applyNumberFormat="1" applyFont="1" applyFill="1" applyBorder="1" applyAlignment="1">
      <alignment horizontal="center" vertical="center"/>
    </xf>
    <xf numFmtId="3" fontId="120" fillId="26" borderId="13" xfId="4" applyNumberFormat="1" applyFont="1" applyFill="1" applyBorder="1" applyAlignment="1">
      <alignment horizontal="center" vertical="center"/>
    </xf>
    <xf numFmtId="3" fontId="120" fillId="26" borderId="12" xfId="4" applyNumberFormat="1" applyFont="1" applyFill="1" applyBorder="1" applyAlignment="1">
      <alignment horizontal="center" vertical="center"/>
    </xf>
    <xf numFmtId="3" fontId="55" fillId="27" borderId="63" xfId="4" applyNumberFormat="1" applyFont="1" applyFill="1" applyBorder="1" applyAlignment="1">
      <alignment horizontal="center" vertical="center"/>
    </xf>
    <xf numFmtId="3" fontId="55" fillId="27" borderId="13" xfId="4" applyNumberFormat="1" applyFont="1" applyFill="1" applyBorder="1" applyAlignment="1">
      <alignment horizontal="center" vertical="center"/>
    </xf>
    <xf numFmtId="3" fontId="55" fillId="27" borderId="12" xfId="4" applyNumberFormat="1" applyFont="1" applyFill="1" applyBorder="1" applyAlignment="1">
      <alignment horizontal="center" vertical="center"/>
    </xf>
    <xf numFmtId="3" fontId="116" fillId="27" borderId="65" xfId="4" applyNumberFormat="1" applyFont="1" applyFill="1" applyBorder="1" applyAlignment="1">
      <alignment horizontal="center" vertical="center"/>
    </xf>
    <xf numFmtId="3" fontId="116" fillId="27" borderId="27" xfId="4" applyNumberFormat="1" applyFont="1" applyFill="1" applyBorder="1" applyAlignment="1">
      <alignment horizontal="center" vertical="center"/>
    </xf>
    <xf numFmtId="3" fontId="116" fillId="27" borderId="23" xfId="4" applyNumberFormat="1" applyFont="1" applyFill="1" applyBorder="1" applyAlignment="1">
      <alignment horizontal="center" vertical="center"/>
    </xf>
    <xf numFmtId="3" fontId="56" fillId="27" borderId="63" xfId="4" applyNumberFormat="1" applyFont="1" applyFill="1" applyBorder="1" applyAlignment="1">
      <alignment horizontal="center" vertical="center"/>
    </xf>
    <xf numFmtId="3" fontId="56" fillId="27" borderId="13" xfId="4" applyNumberFormat="1" applyFont="1" applyFill="1" applyBorder="1" applyAlignment="1">
      <alignment horizontal="center" vertical="center"/>
    </xf>
    <xf numFmtId="3" fontId="56" fillId="27" borderId="12" xfId="4" applyNumberFormat="1" applyFont="1" applyFill="1" applyBorder="1" applyAlignment="1">
      <alignment horizontal="center" vertical="center"/>
    </xf>
    <xf numFmtId="3" fontId="56" fillId="27" borderId="110" xfId="4" applyNumberFormat="1" applyFont="1" applyFill="1" applyBorder="1" applyAlignment="1">
      <alignment horizontal="center" vertical="center"/>
    </xf>
    <xf numFmtId="43" fontId="116" fillId="23" borderId="62" xfId="1" applyFont="1" applyFill="1" applyBorder="1" applyAlignment="1">
      <alignment horizontal="center" vertical="center"/>
    </xf>
    <xf numFmtId="43" fontId="116" fillId="23" borderId="10" xfId="1" applyFont="1" applyFill="1" applyBorder="1" applyAlignment="1">
      <alignment horizontal="center" vertical="center"/>
    </xf>
    <xf numFmtId="43" fontId="116" fillId="23" borderId="74" xfId="1" applyFont="1" applyFill="1" applyBorder="1" applyAlignment="1">
      <alignment horizontal="center" vertical="center"/>
    </xf>
    <xf numFmtId="43" fontId="55" fillId="23" borderId="63" xfId="1" applyFont="1" applyFill="1" applyBorder="1" applyAlignment="1">
      <alignment horizontal="center" vertical="center"/>
    </xf>
    <xf numFmtId="43" fontId="55" fillId="23" borderId="13" xfId="1" applyFont="1" applyFill="1" applyBorder="1" applyAlignment="1">
      <alignment horizontal="center" vertical="center"/>
    </xf>
    <xf numFmtId="43" fontId="55" fillId="23" borderId="12" xfId="1" applyFont="1" applyFill="1" applyBorder="1" applyAlignment="1">
      <alignment horizontal="center" vertical="center"/>
    </xf>
    <xf numFmtId="3" fontId="55" fillId="27" borderId="62" xfId="4" applyNumberFormat="1" applyFont="1" applyFill="1" applyBorder="1" applyAlignment="1">
      <alignment horizontal="center" vertical="center"/>
    </xf>
    <xf numFmtId="3" fontId="55" fillId="27" borderId="10" xfId="4" applyNumberFormat="1" applyFont="1" applyFill="1" applyBorder="1" applyAlignment="1">
      <alignment horizontal="center" vertical="center"/>
    </xf>
    <xf numFmtId="3" fontId="55" fillId="27" borderId="74" xfId="4" applyNumberFormat="1" applyFont="1" applyFill="1" applyBorder="1" applyAlignment="1">
      <alignment horizontal="center" vertical="center"/>
    </xf>
    <xf numFmtId="3" fontId="62" fillId="27" borderId="63" xfId="4" applyNumberFormat="1" applyFont="1" applyFill="1" applyBorder="1" applyAlignment="1">
      <alignment horizontal="center" vertical="center"/>
    </xf>
    <xf numFmtId="3" fontId="62" fillId="27" borderId="13" xfId="4" applyNumberFormat="1" applyFont="1" applyFill="1" applyBorder="1" applyAlignment="1">
      <alignment horizontal="center" vertical="center"/>
    </xf>
    <xf numFmtId="3" fontId="62" fillId="27" borderId="12" xfId="4" applyNumberFormat="1" applyFont="1" applyFill="1" applyBorder="1" applyAlignment="1">
      <alignment horizontal="center" vertical="center"/>
    </xf>
    <xf numFmtId="3" fontId="55" fillId="27" borderId="110" xfId="4" applyNumberFormat="1" applyFont="1" applyFill="1" applyBorder="1" applyAlignment="1">
      <alignment horizontal="center" vertical="center"/>
    </xf>
    <xf numFmtId="43" fontId="55" fillId="23" borderId="105" xfId="1" applyFont="1" applyFill="1" applyBorder="1" applyAlignment="1">
      <alignment horizontal="center" vertical="center"/>
    </xf>
    <xf numFmtId="43" fontId="55" fillId="23" borderId="10" xfId="1" applyFont="1" applyFill="1" applyBorder="1" applyAlignment="1">
      <alignment horizontal="center" vertical="center"/>
    </xf>
    <xf numFmtId="43" fontId="55" fillId="23" borderId="74" xfId="1" applyFont="1" applyFill="1" applyBorder="1" applyAlignment="1">
      <alignment horizontal="center" vertical="center"/>
    </xf>
    <xf numFmtId="3" fontId="56" fillId="26" borderId="63" xfId="4" applyNumberFormat="1" applyFont="1" applyFill="1" applyBorder="1" applyAlignment="1">
      <alignment horizontal="center" vertical="center"/>
    </xf>
    <xf numFmtId="3" fontId="56" fillId="26" borderId="13" xfId="4" applyNumberFormat="1" applyFont="1" applyFill="1" applyBorder="1" applyAlignment="1">
      <alignment horizontal="center" vertical="center"/>
    </xf>
    <xf numFmtId="3" fontId="56" fillId="26" borderId="12" xfId="4" applyNumberFormat="1" applyFont="1" applyFill="1" applyBorder="1" applyAlignment="1">
      <alignment horizontal="center" vertical="center"/>
    </xf>
    <xf numFmtId="0" fontId="48" fillId="2" borderId="5" xfId="4" applyFont="1" applyFill="1" applyBorder="1" applyAlignment="1">
      <alignment horizontal="center" vertical="center"/>
    </xf>
    <xf numFmtId="0" fontId="48" fillId="2" borderId="11" xfId="4" applyFont="1" applyFill="1" applyBorder="1" applyAlignment="1">
      <alignment horizontal="center" vertical="center"/>
    </xf>
    <xf numFmtId="0" fontId="48" fillId="2" borderId="25" xfId="4" applyFont="1" applyFill="1" applyBorder="1" applyAlignment="1">
      <alignment horizontal="center" vertical="center"/>
    </xf>
    <xf numFmtId="3" fontId="49" fillId="0" borderId="42" xfId="4" applyNumberFormat="1" applyFont="1" applyFill="1" applyBorder="1" applyAlignment="1">
      <alignment horizontal="center" vertical="center" wrapText="1"/>
    </xf>
    <xf numFmtId="3" fontId="49" fillId="0" borderId="43" xfId="4" applyNumberFormat="1" applyFont="1" applyFill="1" applyBorder="1" applyAlignment="1">
      <alignment horizontal="center" vertical="center" wrapText="1"/>
    </xf>
    <xf numFmtId="3" fontId="49" fillId="0" borderId="41" xfId="4" applyNumberFormat="1" applyFont="1" applyFill="1" applyBorder="1" applyAlignment="1">
      <alignment horizontal="center" vertical="center" wrapText="1"/>
    </xf>
    <xf numFmtId="0" fontId="57" fillId="0" borderId="73" xfId="0" applyFont="1" applyBorder="1" applyAlignment="1">
      <alignment horizontal="center" vertical="center"/>
    </xf>
    <xf numFmtId="0" fontId="57" fillId="0" borderId="22" xfId="0" applyFont="1" applyBorder="1" applyAlignment="1">
      <alignment horizontal="center" vertical="center"/>
    </xf>
    <xf numFmtId="0" fontId="62" fillId="2" borderId="0" xfId="0" applyFont="1" applyFill="1" applyBorder="1" applyAlignment="1">
      <alignment horizontal="left" vertical="center" wrapText="1"/>
    </xf>
    <xf numFmtId="0" fontId="153" fillId="2" borderId="5" xfId="4" applyFont="1" applyFill="1" applyBorder="1" applyAlignment="1">
      <alignment horizontal="center" vertical="center"/>
    </xf>
    <xf numFmtId="0" fontId="153" fillId="2" borderId="11" xfId="4" applyFont="1" applyFill="1" applyBorder="1" applyAlignment="1">
      <alignment horizontal="center" vertical="center"/>
    </xf>
    <xf numFmtId="0" fontId="153" fillId="2" borderId="25" xfId="4" applyFont="1" applyFill="1" applyBorder="1" applyAlignment="1">
      <alignment horizontal="center" vertical="center"/>
    </xf>
    <xf numFmtId="3" fontId="113" fillId="0" borderId="42" xfId="4" applyNumberFormat="1" applyFont="1" applyFill="1" applyBorder="1" applyAlignment="1">
      <alignment horizontal="center" vertical="center" wrapText="1"/>
    </xf>
    <xf numFmtId="3" fontId="113" fillId="0" borderId="43" xfId="4" applyNumberFormat="1" applyFont="1" applyFill="1" applyBorder="1" applyAlignment="1">
      <alignment horizontal="center" vertical="center" wrapText="1"/>
    </xf>
    <xf numFmtId="3" fontId="113" fillId="0" borderId="41" xfId="4" applyNumberFormat="1" applyFont="1" applyFill="1" applyBorder="1" applyAlignment="1">
      <alignment horizontal="center" vertical="center" wrapText="1"/>
    </xf>
    <xf numFmtId="0" fontId="168" fillId="0" borderId="73" xfId="0" applyFont="1" applyBorder="1" applyAlignment="1">
      <alignment horizontal="center" vertical="center"/>
    </xf>
    <xf numFmtId="0" fontId="168" fillId="0" borderId="22" xfId="0" applyFont="1" applyBorder="1" applyAlignment="1">
      <alignment horizontal="center" vertical="center"/>
    </xf>
    <xf numFmtId="0" fontId="57" fillId="0" borderId="99" xfId="0" applyFont="1" applyBorder="1" applyAlignment="1">
      <alignment horizontal="center" vertical="center"/>
    </xf>
    <xf numFmtId="0" fontId="57" fillId="0" borderId="20" xfId="0" applyFont="1" applyBorder="1" applyAlignment="1">
      <alignment horizontal="center" vertical="center"/>
    </xf>
    <xf numFmtId="0" fontId="57" fillId="0" borderId="6" xfId="0" applyFont="1" applyBorder="1" applyAlignment="1">
      <alignment horizontal="center" vertical="center"/>
    </xf>
    <xf numFmtId="0" fontId="168" fillId="0" borderId="6" xfId="0" applyFont="1" applyBorder="1" applyAlignment="1">
      <alignment horizontal="center" vertical="center"/>
    </xf>
    <xf numFmtId="0" fontId="168" fillId="0" borderId="20" xfId="0" applyFont="1" applyBorder="1" applyAlignment="1">
      <alignment horizontal="center" vertical="center"/>
    </xf>
    <xf numFmtId="3" fontId="51" fillId="2" borderId="73" xfId="4" applyNumberFormat="1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/>
    </xf>
    <xf numFmtId="3" fontId="151" fillId="2" borderId="73" xfId="4" applyNumberFormat="1" applyFont="1" applyFill="1" applyBorder="1" applyAlignment="1">
      <alignment horizontal="center" vertical="center" wrapText="1"/>
    </xf>
    <xf numFmtId="3" fontId="151" fillId="2" borderId="6" xfId="4" applyNumberFormat="1" applyFont="1" applyFill="1" applyBorder="1" applyAlignment="1">
      <alignment horizontal="center" vertical="center" wrapText="1"/>
    </xf>
    <xf numFmtId="3" fontId="151" fillId="2" borderId="20" xfId="4" applyNumberFormat="1" applyFont="1" applyFill="1" applyBorder="1" applyAlignment="1">
      <alignment horizontal="center" vertical="center" wrapText="1"/>
    </xf>
    <xf numFmtId="3" fontId="113" fillId="0" borderId="82" xfId="4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3" fontId="51" fillId="2" borderId="6" xfId="4" applyNumberFormat="1" applyFont="1" applyFill="1" applyBorder="1" applyAlignment="1">
      <alignment horizontal="center" vertical="center" wrapText="1"/>
    </xf>
    <xf numFmtId="3" fontId="51" fillId="2" borderId="20" xfId="4" applyNumberFormat="1" applyFont="1" applyFill="1" applyBorder="1" applyAlignment="1">
      <alignment horizontal="center" vertical="center" wrapText="1"/>
    </xf>
    <xf numFmtId="3" fontId="49" fillId="0" borderId="82" xfId="4" applyNumberFormat="1" applyFont="1" applyFill="1" applyBorder="1" applyAlignment="1">
      <alignment horizontal="center" vertical="center" wrapText="1"/>
    </xf>
    <xf numFmtId="0" fontId="129" fillId="0" borderId="22" xfId="0" applyFont="1" applyBorder="1" applyAlignment="1">
      <alignment horizontal="center" vertical="center" wrapText="1"/>
    </xf>
    <xf numFmtId="0" fontId="153" fillId="0" borderId="5" xfId="0" applyFont="1" applyFill="1" applyBorder="1" applyAlignment="1">
      <alignment horizontal="center" vertical="center"/>
    </xf>
    <xf numFmtId="0" fontId="129" fillId="0" borderId="11" xfId="0" applyFont="1" applyFill="1" applyBorder="1" applyAlignment="1">
      <alignment vertical="center"/>
    </xf>
    <xf numFmtId="0" fontId="129" fillId="0" borderId="25" xfId="0" applyFont="1" applyFill="1" applyBorder="1" applyAlignment="1">
      <alignment vertical="center"/>
    </xf>
    <xf numFmtId="0" fontId="113" fillId="0" borderId="42" xfId="0" applyFont="1" applyFill="1" applyBorder="1" applyAlignment="1">
      <alignment horizontal="center" vertical="center" wrapText="1"/>
    </xf>
    <xf numFmtId="0" fontId="113" fillId="0" borderId="43" xfId="0" applyFont="1" applyFill="1" applyBorder="1" applyAlignment="1">
      <alignment horizontal="center" vertical="center" wrapText="1"/>
    </xf>
    <xf numFmtId="0" fontId="113" fillId="0" borderId="41" xfId="0" applyFont="1" applyFill="1" applyBorder="1" applyAlignment="1">
      <alignment horizontal="center" vertical="center" wrapText="1"/>
    </xf>
    <xf numFmtId="0" fontId="129" fillId="0" borderId="22" xfId="0" applyFont="1" applyBorder="1" applyAlignment="1">
      <alignment horizontal="center" vertical="center"/>
    </xf>
    <xf numFmtId="0" fontId="48" fillId="0" borderId="11" xfId="4" applyFont="1" applyFill="1" applyBorder="1" applyAlignment="1">
      <alignment horizontal="center" vertical="center"/>
    </xf>
    <xf numFmtId="0" fontId="48" fillId="0" borderId="25" xfId="4" applyFont="1" applyFill="1" applyBorder="1" applyAlignment="1">
      <alignment horizontal="center" vertical="center"/>
    </xf>
    <xf numFmtId="0" fontId="49" fillId="0" borderId="46" xfId="4" applyFont="1" applyFill="1" applyBorder="1" applyAlignment="1">
      <alignment horizontal="center" vertical="center" wrapText="1"/>
    </xf>
    <xf numFmtId="0" fontId="49" fillId="0" borderId="49" xfId="4" applyFont="1" applyFill="1" applyBorder="1" applyAlignment="1">
      <alignment horizontal="center" vertical="center" wrapText="1"/>
    </xf>
    <xf numFmtId="0" fontId="49" fillId="0" borderId="48" xfId="4" applyFont="1" applyFill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48" fillId="0" borderId="5" xfId="4" applyFont="1" applyFill="1" applyBorder="1" applyAlignment="1">
      <alignment horizontal="center" vertical="center" wrapText="1"/>
    </xf>
    <xf numFmtId="0" fontId="48" fillId="0" borderId="11" xfId="4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25" xfId="0" applyFont="1" applyBorder="1" applyAlignment="1">
      <alignment horizontal="center" vertical="center" wrapText="1"/>
    </xf>
    <xf numFmtId="0" fontId="0" fillId="0" borderId="43" xfId="0" applyFont="1" applyBorder="1" applyAlignment="1">
      <alignment vertical="center" wrapText="1"/>
    </xf>
    <xf numFmtId="0" fontId="0" fillId="0" borderId="41" xfId="0" applyFont="1" applyBorder="1" applyAlignment="1">
      <alignment vertical="center" wrapText="1"/>
    </xf>
    <xf numFmtId="3" fontId="51" fillId="2" borderId="99" xfId="4" applyNumberFormat="1" applyFon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3" fontId="56" fillId="26" borderId="103" xfId="4" applyNumberFormat="1" applyFont="1" applyFill="1" applyBorder="1" applyAlignment="1">
      <alignment horizontal="center" vertical="center"/>
    </xf>
    <xf numFmtId="0" fontId="48" fillId="0" borderId="5" xfId="4" applyFont="1" applyFill="1" applyBorder="1" applyAlignment="1">
      <alignment horizontal="center" vertical="top"/>
    </xf>
    <xf numFmtId="0" fontId="48" fillId="0" borderId="11" xfId="4" applyFont="1" applyFill="1" applyBorder="1" applyAlignment="1">
      <alignment horizontal="center" vertical="top"/>
    </xf>
    <xf numFmtId="0" fontId="49" fillId="8" borderId="43" xfId="4" applyFont="1" applyFill="1" applyBorder="1" applyAlignment="1">
      <alignment horizontal="center" vertical="top"/>
    </xf>
    <xf numFmtId="0" fontId="49" fillId="8" borderId="41" xfId="4" applyFont="1" applyFill="1" applyBorder="1" applyAlignment="1">
      <alignment horizontal="center" vertical="top"/>
    </xf>
    <xf numFmtId="0" fontId="48" fillId="0" borderId="5" xfId="4" applyFont="1" applyFill="1" applyBorder="1" applyAlignment="1">
      <alignment horizontal="center" vertical="center"/>
    </xf>
    <xf numFmtId="3" fontId="49" fillId="0" borderId="42" xfId="4" applyNumberFormat="1" applyFont="1" applyFill="1" applyBorder="1" applyAlignment="1">
      <alignment horizontal="center" vertical="center"/>
    </xf>
    <xf numFmtId="3" fontId="49" fillId="0" borderId="43" xfId="4" applyNumberFormat="1" applyFont="1" applyFill="1" applyBorder="1" applyAlignment="1">
      <alignment horizontal="center" vertical="center"/>
    </xf>
    <xf numFmtId="3" fontId="49" fillId="0" borderId="41" xfId="4" applyNumberFormat="1" applyFont="1" applyFill="1" applyBorder="1" applyAlignment="1">
      <alignment horizontal="center" vertical="center"/>
    </xf>
    <xf numFmtId="3" fontId="51" fillId="2" borderId="22" xfId="4" applyNumberFormat="1" applyFont="1" applyFill="1" applyBorder="1" applyAlignment="1">
      <alignment horizontal="center" vertical="center" wrapText="1"/>
    </xf>
    <xf numFmtId="0" fontId="55" fillId="28" borderId="5" xfId="4" applyFont="1" applyFill="1" applyBorder="1" applyAlignment="1">
      <alignment horizontal="center" vertical="top" wrapText="1"/>
    </xf>
    <xf numFmtId="0" fontId="55" fillId="28" borderId="11" xfId="4" applyFont="1" applyFill="1" applyBorder="1" applyAlignment="1">
      <alignment horizontal="center" vertical="top" wrapText="1"/>
    </xf>
    <xf numFmtId="0" fontId="55" fillId="28" borderId="25" xfId="4" applyFont="1" applyFill="1" applyBorder="1" applyAlignment="1">
      <alignment horizontal="center" vertical="top" wrapText="1"/>
    </xf>
    <xf numFmtId="0" fontId="55" fillId="28" borderId="66" xfId="4" applyFont="1" applyFill="1" applyBorder="1" applyAlignment="1">
      <alignment horizontal="center" vertical="center" wrapText="1"/>
    </xf>
    <xf numFmtId="0" fontId="55" fillId="28" borderId="67" xfId="4" applyFont="1" applyFill="1" applyBorder="1" applyAlignment="1">
      <alignment horizontal="center" vertical="center" wrapText="1"/>
    </xf>
    <xf numFmtId="0" fontId="55" fillId="28" borderId="69" xfId="4" applyFont="1" applyFill="1" applyBorder="1" applyAlignment="1">
      <alignment horizontal="center" vertical="center" wrapText="1"/>
    </xf>
    <xf numFmtId="0" fontId="153" fillId="0" borderId="5" xfId="4" applyFont="1" applyFill="1" applyBorder="1" applyAlignment="1">
      <alignment horizontal="center" vertical="center"/>
    </xf>
    <xf numFmtId="0" fontId="153" fillId="0" borderId="11" xfId="4" applyFont="1" applyFill="1" applyBorder="1" applyAlignment="1">
      <alignment horizontal="center" vertical="center"/>
    </xf>
    <xf numFmtId="0" fontId="129" fillId="0" borderId="11" xfId="0" applyFont="1" applyBorder="1" applyAlignment="1">
      <alignment horizontal="center" vertical="center"/>
    </xf>
    <xf numFmtId="0" fontId="129" fillId="0" borderId="25" xfId="0" applyFont="1" applyBorder="1" applyAlignment="1">
      <alignment horizontal="center" vertical="center"/>
    </xf>
    <xf numFmtId="0" fontId="129" fillId="0" borderId="43" xfId="0" applyFont="1" applyBorder="1" applyAlignment="1">
      <alignment horizontal="center" vertical="center" wrapText="1"/>
    </xf>
    <xf numFmtId="0" fontId="129" fillId="0" borderId="41" xfId="0" applyFont="1" applyBorder="1" applyAlignment="1">
      <alignment horizontal="center" vertical="center" wrapText="1"/>
    </xf>
    <xf numFmtId="3" fontId="120" fillId="2" borderId="73" xfId="4" applyNumberFormat="1" applyFont="1" applyFill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 wrapText="1"/>
    </xf>
    <xf numFmtId="0" fontId="124" fillId="0" borderId="22" xfId="0" applyFont="1" applyBorder="1" applyAlignment="1">
      <alignment horizontal="center" vertical="center" wrapText="1"/>
    </xf>
    <xf numFmtId="3" fontId="116" fillId="27" borderId="63" xfId="4" applyNumberFormat="1" applyFont="1" applyFill="1" applyBorder="1" applyAlignment="1">
      <alignment horizontal="center" vertical="center"/>
    </xf>
    <xf numFmtId="3" fontId="116" fillId="27" borderId="13" xfId="4" applyNumberFormat="1" applyFont="1" applyFill="1" applyBorder="1" applyAlignment="1">
      <alignment horizontal="center" vertical="center"/>
    </xf>
    <xf numFmtId="3" fontId="116" fillId="27" borderId="12" xfId="4" applyNumberFormat="1" applyFont="1" applyFill="1" applyBorder="1" applyAlignment="1">
      <alignment horizontal="center" vertical="center"/>
    </xf>
    <xf numFmtId="3" fontId="48" fillId="27" borderId="63" xfId="4" applyNumberFormat="1" applyFont="1" applyFill="1" applyBorder="1" applyAlignment="1">
      <alignment horizontal="center" vertical="center"/>
    </xf>
    <xf numFmtId="3" fontId="48" fillId="27" borderId="13" xfId="4" applyNumberFormat="1" applyFont="1" applyFill="1" applyBorder="1" applyAlignment="1">
      <alignment horizontal="center" vertical="center"/>
    </xf>
    <xf numFmtId="3" fontId="48" fillId="27" borderId="12" xfId="4" applyNumberFormat="1" applyFont="1" applyFill="1" applyBorder="1" applyAlignment="1">
      <alignment horizontal="center" vertical="center"/>
    </xf>
    <xf numFmtId="0" fontId="0" fillId="0" borderId="11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3" fontId="49" fillId="0" borderId="46" xfId="4" applyNumberFormat="1" applyFont="1" applyFill="1" applyBorder="1" applyAlignment="1">
      <alignment horizontal="center" vertical="center" wrapText="1"/>
    </xf>
    <xf numFmtId="3" fontId="56" fillId="2" borderId="114" xfId="4" applyNumberFormat="1" applyFont="1" applyFill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/>
    </xf>
    <xf numFmtId="0" fontId="63" fillId="0" borderId="20" xfId="0" applyFont="1" applyBorder="1" applyAlignment="1">
      <alignment horizontal="center" vertical="center"/>
    </xf>
    <xf numFmtId="0" fontId="53" fillId="0" borderId="118" xfId="0" applyFont="1" applyBorder="1" applyAlignment="1">
      <alignment horizontal="center" vertical="center" wrapText="1"/>
    </xf>
    <xf numFmtId="0" fontId="53" fillId="0" borderId="43" xfId="0" applyFont="1" applyBorder="1" applyAlignment="1">
      <alignment horizontal="center" vertical="center" wrapText="1"/>
    </xf>
    <xf numFmtId="0" fontId="53" fillId="0" borderId="41" xfId="0" applyFont="1" applyBorder="1" applyAlignment="1">
      <alignment horizontal="center" vertical="center" wrapText="1"/>
    </xf>
    <xf numFmtId="0" fontId="63" fillId="0" borderId="22" xfId="0" applyFont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41" xfId="0" applyFont="1" applyBorder="1" applyAlignment="1">
      <alignment horizontal="center" vertical="center" wrapText="1"/>
    </xf>
    <xf numFmtId="3" fontId="56" fillId="2" borderId="73" xfId="4" applyNumberFormat="1" applyFont="1" applyFill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48" fillId="28" borderId="5" xfId="4" applyFont="1" applyFill="1" applyBorder="1" applyAlignment="1">
      <alignment horizontal="center" vertical="top"/>
    </xf>
    <xf numFmtId="0" fontId="48" fillId="28" borderId="11" xfId="4" applyFont="1" applyFill="1" applyBorder="1" applyAlignment="1">
      <alignment horizontal="center" vertical="top"/>
    </xf>
    <xf numFmtId="0" fontId="48" fillId="28" borderId="25" xfId="4" applyFont="1" applyFill="1" applyBorder="1" applyAlignment="1">
      <alignment horizontal="center" vertical="top"/>
    </xf>
    <xf numFmtId="3" fontId="49" fillId="28" borderId="42" xfId="4" applyNumberFormat="1" applyFont="1" applyFill="1" applyBorder="1" applyAlignment="1">
      <alignment horizontal="center" vertical="top" wrapText="1"/>
    </xf>
    <xf numFmtId="3" fontId="49" fillId="28" borderId="43" xfId="4" applyNumberFormat="1" applyFont="1" applyFill="1" applyBorder="1" applyAlignment="1">
      <alignment horizontal="center" vertical="top" wrapText="1"/>
    </xf>
    <xf numFmtId="3" fontId="56" fillId="2" borderId="6" xfId="4" applyNumberFormat="1" applyFont="1" applyFill="1" applyBorder="1" applyAlignment="1">
      <alignment horizontal="center" vertical="center" wrapText="1"/>
    </xf>
    <xf numFmtId="3" fontId="56" fillId="2" borderId="22" xfId="4" applyNumberFormat="1" applyFont="1" applyFill="1" applyBorder="1" applyAlignment="1">
      <alignment horizontal="center" vertical="center" wrapText="1"/>
    </xf>
    <xf numFmtId="0" fontId="124" fillId="0" borderId="6" xfId="0" applyFont="1" applyBorder="1" applyAlignment="1">
      <alignment horizontal="center" vertical="center"/>
    </xf>
    <xf numFmtId="0" fontId="124" fillId="0" borderId="20" xfId="0" applyFont="1" applyBorder="1" applyAlignment="1">
      <alignment horizontal="center" vertical="center"/>
    </xf>
    <xf numFmtId="3" fontId="120" fillId="27" borderId="63" xfId="4" applyNumberFormat="1" applyFont="1" applyFill="1" applyBorder="1" applyAlignment="1">
      <alignment horizontal="center" vertical="center"/>
    </xf>
    <xf numFmtId="3" fontId="120" fillId="27" borderId="13" xfId="4" applyNumberFormat="1" applyFont="1" applyFill="1" applyBorder="1" applyAlignment="1">
      <alignment horizontal="center" vertical="center"/>
    </xf>
    <xf numFmtId="3" fontId="120" fillId="27" borderId="12" xfId="4" applyNumberFormat="1" applyFont="1" applyFill="1" applyBorder="1" applyAlignment="1">
      <alignment horizontal="center" vertical="center"/>
    </xf>
    <xf numFmtId="0" fontId="48" fillId="13" borderId="5" xfId="4" applyFont="1" applyFill="1" applyBorder="1" applyAlignment="1">
      <alignment horizontal="center" vertical="top"/>
    </xf>
    <xf numFmtId="0" fontId="48" fillId="13" borderId="11" xfId="4" applyFont="1" applyFill="1" applyBorder="1" applyAlignment="1">
      <alignment horizontal="center" vertical="top"/>
    </xf>
    <xf numFmtId="0" fontId="0" fillId="0" borderId="11" xfId="0" applyFont="1" applyBorder="1" applyAlignment="1">
      <alignment horizontal="center" vertical="top"/>
    </xf>
    <xf numFmtId="0" fontId="0" fillId="0" borderId="25" xfId="0" applyFont="1" applyBorder="1" applyAlignment="1">
      <alignment horizontal="center" vertical="top"/>
    </xf>
    <xf numFmtId="0" fontId="49" fillId="13" borderId="42" xfId="4" applyFont="1" applyFill="1" applyBorder="1" applyAlignment="1">
      <alignment horizontal="center" vertical="center" wrapText="1"/>
    </xf>
    <xf numFmtId="0" fontId="49" fillId="13" borderId="43" xfId="4" applyFont="1" applyFill="1" applyBorder="1" applyAlignment="1">
      <alignment horizontal="center" vertical="center" wrapText="1"/>
    </xf>
    <xf numFmtId="0" fontId="53" fillId="0" borderId="82" xfId="0" applyFont="1" applyBorder="1" applyAlignment="1">
      <alignment horizontal="center" vertical="center" wrapText="1"/>
    </xf>
    <xf numFmtId="3" fontId="120" fillId="2" borderId="114" xfId="4" applyNumberFormat="1" applyFont="1" applyFill="1" applyBorder="1" applyAlignment="1">
      <alignment horizontal="center" vertical="center" wrapText="1"/>
    </xf>
    <xf numFmtId="0" fontId="53" fillId="0" borderId="42" xfId="0" applyFont="1" applyBorder="1" applyAlignment="1">
      <alignment horizontal="center" vertical="center" wrapText="1"/>
    </xf>
    <xf numFmtId="3" fontId="120" fillId="2" borderId="6" xfId="4" applyNumberFormat="1" applyFont="1" applyFill="1" applyBorder="1" applyAlignment="1">
      <alignment horizontal="center" vertical="center" wrapText="1"/>
    </xf>
    <xf numFmtId="3" fontId="120" fillId="2" borderId="22" xfId="4" applyNumberFormat="1" applyFont="1" applyFill="1" applyBorder="1" applyAlignment="1">
      <alignment horizontal="center" vertical="center" wrapText="1"/>
    </xf>
    <xf numFmtId="0" fontId="123" fillId="0" borderId="42" xfId="0" applyFont="1" applyBorder="1" applyAlignment="1">
      <alignment horizontal="center" vertical="center" wrapText="1"/>
    </xf>
    <xf numFmtId="0" fontId="123" fillId="0" borderId="43" xfId="0" applyFont="1" applyBorder="1" applyAlignment="1">
      <alignment horizontal="center" vertical="center" wrapText="1"/>
    </xf>
    <xf numFmtId="0" fontId="123" fillId="0" borderId="41" xfId="0" applyFont="1" applyBorder="1" applyAlignment="1">
      <alignment horizontal="center" vertical="center" wrapText="1"/>
    </xf>
    <xf numFmtId="0" fontId="124" fillId="0" borderId="20" xfId="0" applyFont="1" applyBorder="1" applyAlignment="1">
      <alignment horizontal="center" vertical="center" wrapText="1"/>
    </xf>
    <xf numFmtId="0" fontId="120" fillId="2" borderId="73" xfId="4" applyFont="1" applyFill="1" applyBorder="1" applyAlignment="1">
      <alignment horizontal="center" vertical="center" wrapText="1"/>
    </xf>
    <xf numFmtId="3" fontId="56" fillId="2" borderId="20" xfId="4" applyNumberFormat="1" applyFont="1" applyFill="1" applyBorder="1" applyAlignment="1">
      <alignment horizontal="center" vertical="center" wrapText="1"/>
    </xf>
    <xf numFmtId="0" fontId="49" fillId="0" borderId="82" xfId="4" applyFont="1" applyFill="1" applyBorder="1" applyAlignment="1">
      <alignment horizontal="center" vertical="center" wrapText="1"/>
    </xf>
    <xf numFmtId="0" fontId="63" fillId="0" borderId="20" xfId="0" applyFont="1" applyBorder="1" applyAlignment="1">
      <alignment horizontal="center" vertical="center" wrapText="1"/>
    </xf>
    <xf numFmtId="0" fontId="56" fillId="0" borderId="73" xfId="4" applyFont="1" applyFill="1" applyBorder="1" applyAlignment="1">
      <alignment horizontal="center" vertical="center"/>
    </xf>
    <xf numFmtId="0" fontId="56" fillId="0" borderId="20" xfId="4" applyFont="1" applyFill="1" applyBorder="1" applyAlignment="1">
      <alignment horizontal="center" vertical="center"/>
    </xf>
    <xf numFmtId="0" fontId="120" fillId="2" borderId="6" xfId="4" applyFont="1" applyFill="1" applyBorder="1" applyAlignment="1">
      <alignment horizontal="center" vertical="center" wrapText="1"/>
    </xf>
    <xf numFmtId="0" fontId="124" fillId="0" borderId="6" xfId="0" applyFont="1" applyBorder="1" applyAlignment="1">
      <alignment wrapText="1"/>
    </xf>
    <xf numFmtId="0" fontId="124" fillId="0" borderId="22" xfId="0" applyFont="1" applyBorder="1" applyAlignment="1">
      <alignment wrapText="1"/>
    </xf>
    <xf numFmtId="3" fontId="63" fillId="26" borderId="110" xfId="6" applyNumberFormat="1" applyFont="1" applyFill="1" applyBorder="1" applyAlignment="1">
      <alignment horizontal="center" vertical="center"/>
    </xf>
    <xf numFmtId="3" fontId="63" fillId="26" borderId="13" xfId="6" applyNumberFormat="1" applyFont="1" applyFill="1" applyBorder="1" applyAlignment="1">
      <alignment horizontal="center" vertical="center"/>
    </xf>
    <xf numFmtId="3" fontId="63" fillId="26" borderId="12" xfId="6" applyNumberFormat="1" applyFont="1" applyFill="1" applyBorder="1" applyAlignment="1">
      <alignment horizontal="center" vertical="center"/>
    </xf>
    <xf numFmtId="0" fontId="124" fillId="0" borderId="82" xfId="0" applyFont="1" applyBorder="1" applyAlignment="1">
      <alignment horizontal="center" vertical="center" wrapText="1"/>
    </xf>
    <xf numFmtId="0" fontId="124" fillId="0" borderId="43" xfId="0" applyFont="1" applyBorder="1" applyAlignment="1">
      <alignment horizontal="center" vertical="center" wrapText="1"/>
    </xf>
    <xf numFmtId="0" fontId="124" fillId="0" borderId="41" xfId="0" applyFont="1" applyBorder="1" applyAlignment="1">
      <alignment horizontal="center" vertical="center" wrapText="1"/>
    </xf>
    <xf numFmtId="0" fontId="113" fillId="0" borderId="46" xfId="4" applyFont="1" applyFill="1" applyBorder="1" applyAlignment="1">
      <alignment horizontal="center" vertical="center" wrapText="1"/>
    </xf>
    <xf numFmtId="0" fontId="56" fillId="2" borderId="73" xfId="4" applyFont="1" applyFill="1" applyBorder="1" applyAlignment="1">
      <alignment horizontal="center" vertical="center" wrapText="1"/>
    </xf>
    <xf numFmtId="0" fontId="63" fillId="0" borderId="6" xfId="0" applyFont="1" applyBorder="1" applyAlignment="1">
      <alignment wrapText="1"/>
    </xf>
    <xf numFmtId="0" fontId="63" fillId="0" borderId="22" xfId="0" applyFont="1" applyBorder="1" applyAlignment="1">
      <alignment wrapText="1"/>
    </xf>
    <xf numFmtId="0" fontId="63" fillId="0" borderId="82" xfId="0" applyFont="1" applyBorder="1" applyAlignment="1">
      <alignment horizontal="center" vertical="center" wrapText="1"/>
    </xf>
    <xf numFmtId="0" fontId="63" fillId="0" borderId="43" xfId="0" applyFont="1" applyBorder="1" applyAlignment="1">
      <alignment horizontal="center" vertical="center" wrapText="1"/>
    </xf>
    <xf numFmtId="0" fontId="63" fillId="0" borderId="41" xfId="0" applyFont="1" applyBorder="1" applyAlignment="1">
      <alignment horizontal="center" vertical="center" wrapText="1"/>
    </xf>
    <xf numFmtId="0" fontId="48" fillId="0" borderId="25" xfId="4" applyFont="1" applyFill="1" applyBorder="1" applyAlignment="1">
      <alignment horizontal="center" vertical="center" wrapText="1"/>
    </xf>
    <xf numFmtId="0" fontId="47" fillId="2" borderId="0" xfId="4" applyFont="1" applyFill="1" applyBorder="1" applyAlignment="1">
      <alignment horizontal="left" vertical="center" wrapText="1"/>
    </xf>
    <xf numFmtId="0" fontId="49" fillId="0" borderId="14" xfId="4" applyFont="1" applyBorder="1" applyAlignment="1">
      <alignment horizontal="center" vertical="center" wrapText="1"/>
    </xf>
    <xf numFmtId="0" fontId="52" fillId="0" borderId="66" xfId="4" applyFont="1" applyBorder="1" applyAlignment="1">
      <alignment horizontal="center" vertical="center" wrapText="1"/>
    </xf>
    <xf numFmtId="0" fontId="52" fillId="0" borderId="67" xfId="4" applyFont="1" applyBorder="1" applyAlignment="1">
      <alignment horizontal="center" vertical="center" wrapText="1"/>
    </xf>
    <xf numFmtId="0" fontId="52" fillId="0" borderId="69" xfId="4" applyFont="1" applyBorder="1" applyAlignment="1">
      <alignment horizontal="center" vertical="center" wrapText="1"/>
    </xf>
    <xf numFmtId="0" fontId="49" fillId="8" borderId="5" xfId="4" applyFont="1" applyFill="1" applyBorder="1" applyAlignment="1">
      <alignment horizontal="center" vertical="top" wrapText="1"/>
    </xf>
    <xf numFmtId="0" fontId="49" fillId="8" borderId="11" xfId="4" applyFont="1" applyFill="1" applyBorder="1" applyAlignment="1">
      <alignment horizontal="center" vertical="top" wrapText="1"/>
    </xf>
    <xf numFmtId="0" fontId="0" fillId="0" borderId="25" xfId="0" applyFont="1" applyBorder="1"/>
    <xf numFmtId="0" fontId="51" fillId="19" borderId="15" xfId="4" applyFont="1" applyFill="1" applyBorder="1" applyAlignment="1">
      <alignment horizontal="center" vertical="center" wrapText="1"/>
    </xf>
    <xf numFmtId="0" fontId="0" fillId="19" borderId="13" xfId="0" applyFont="1" applyFill="1" applyBorder="1" applyAlignment="1">
      <alignment horizontal="center" vertical="center" wrapText="1"/>
    </xf>
    <xf numFmtId="0" fontId="0" fillId="19" borderId="12" xfId="0" applyFont="1" applyFill="1" applyBorder="1" applyAlignment="1">
      <alignment horizontal="center" vertical="center" wrapText="1"/>
    </xf>
    <xf numFmtId="3" fontId="56" fillId="24" borderId="63" xfId="4" applyNumberFormat="1" applyFont="1" applyFill="1" applyBorder="1" applyAlignment="1">
      <alignment horizontal="center" vertical="center"/>
    </xf>
    <xf numFmtId="3" fontId="56" fillId="24" borderId="13" xfId="4" applyNumberFormat="1" applyFont="1" applyFill="1" applyBorder="1" applyAlignment="1">
      <alignment horizontal="center" vertical="center"/>
    </xf>
    <xf numFmtId="3" fontId="56" fillId="24" borderId="12" xfId="4" applyNumberFormat="1" applyFont="1" applyFill="1" applyBorder="1" applyAlignment="1">
      <alignment horizontal="center" vertical="center"/>
    </xf>
    <xf numFmtId="0" fontId="55" fillId="2" borderId="2" xfId="0" applyFont="1" applyFill="1" applyBorder="1" applyAlignment="1">
      <alignment horizontal="center" vertical="center" wrapText="1"/>
    </xf>
    <xf numFmtId="0" fontId="55" fillId="2" borderId="7" xfId="0" applyFont="1" applyFill="1" applyBorder="1" applyAlignment="1">
      <alignment horizontal="center" vertical="center" wrapText="1"/>
    </xf>
    <xf numFmtId="0" fontId="34" fillId="2" borderId="15" xfId="0" applyFont="1" applyFill="1" applyBorder="1" applyAlignment="1">
      <alignment horizontal="center" vertical="center" wrapText="1"/>
    </xf>
    <xf numFmtId="0" fontId="34" fillId="2" borderId="35" xfId="0" applyFont="1" applyFill="1" applyBorder="1" applyAlignment="1">
      <alignment horizontal="center" vertical="center" wrapText="1"/>
    </xf>
    <xf numFmtId="0" fontId="56" fillId="0" borderId="2" xfId="4" applyFont="1" applyBorder="1" applyAlignment="1">
      <alignment horizontal="center" vertical="center" wrapText="1"/>
    </xf>
    <xf numFmtId="0" fontId="56" fillId="0" borderId="3" xfId="4" applyFont="1" applyBorder="1" applyAlignment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7" xfId="4" applyFont="1" applyBorder="1" applyAlignment="1">
      <alignment horizontal="center" vertical="center" wrapText="1"/>
    </xf>
    <xf numFmtId="0" fontId="56" fillId="0" borderId="8" xfId="4" applyFont="1" applyBorder="1" applyAlignment="1">
      <alignment horizontal="center" vertical="center" wrapText="1"/>
    </xf>
    <xf numFmtId="0" fontId="56" fillId="0" borderId="9" xfId="4" applyFont="1" applyBorder="1" applyAlignment="1">
      <alignment horizontal="center" vertical="center" wrapText="1"/>
    </xf>
    <xf numFmtId="0" fontId="189" fillId="0" borderId="113" xfId="4" applyFont="1" applyFill="1" applyBorder="1" applyAlignment="1">
      <alignment horizontal="center" vertical="center"/>
    </xf>
    <xf numFmtId="0" fontId="187" fillId="0" borderId="113" xfId="0" applyFont="1" applyBorder="1" applyAlignment="1">
      <alignment horizontal="center" vertical="center"/>
    </xf>
    <xf numFmtId="0" fontId="189" fillId="0" borderId="111" xfId="4" applyFont="1" applyFill="1" applyBorder="1" applyAlignment="1">
      <alignment horizontal="center" vertical="center" wrapText="1"/>
    </xf>
    <xf numFmtId="0" fontId="199" fillId="0" borderId="111" xfId="0" applyFont="1" applyFill="1" applyBorder="1" applyAlignment="1">
      <alignment horizontal="center" vertical="center" wrapText="1"/>
    </xf>
    <xf numFmtId="3" fontId="180" fillId="2" borderId="111" xfId="4" applyNumberFormat="1" applyFont="1" applyFill="1" applyBorder="1" applyAlignment="1">
      <alignment horizontal="center" vertical="center" wrapText="1"/>
    </xf>
    <xf numFmtId="0" fontId="184" fillId="0" borderId="111" xfId="0" applyFont="1" applyBorder="1" applyAlignment="1">
      <alignment horizontal="center" vertical="center" wrapText="1"/>
    </xf>
    <xf numFmtId="0" fontId="180" fillId="2" borderId="111" xfId="4" applyFont="1" applyFill="1" applyBorder="1" applyAlignment="1">
      <alignment horizontal="center" vertical="center" wrapText="1"/>
    </xf>
    <xf numFmtId="0" fontId="184" fillId="0" borderId="111" xfId="0" applyFont="1" applyBorder="1" applyAlignment="1">
      <alignment wrapText="1"/>
    </xf>
    <xf numFmtId="3" fontId="180" fillId="23" borderId="111" xfId="4" applyNumberFormat="1" applyFont="1" applyFill="1" applyBorder="1" applyAlignment="1">
      <alignment horizontal="center" vertical="center"/>
    </xf>
    <xf numFmtId="3" fontId="192" fillId="27" borderId="111" xfId="4" applyNumberFormat="1" applyFont="1" applyFill="1" applyBorder="1" applyAlignment="1">
      <alignment horizontal="center" vertical="center"/>
    </xf>
    <xf numFmtId="0" fontId="185" fillId="0" borderId="111" xfId="0" applyFont="1" applyBorder="1" applyAlignment="1">
      <alignment horizontal="center" vertical="center" wrapText="1"/>
    </xf>
    <xf numFmtId="0" fontId="189" fillId="0" borderId="20" xfId="4" applyFont="1" applyFill="1" applyBorder="1" applyAlignment="1">
      <alignment horizontal="center" vertical="center"/>
    </xf>
    <xf numFmtId="0" fontId="189" fillId="0" borderId="35" xfId="4" applyFont="1" applyFill="1" applyBorder="1" applyAlignment="1">
      <alignment horizontal="center" vertical="center" wrapText="1"/>
    </xf>
    <xf numFmtId="0" fontId="199" fillId="0" borderId="111" xfId="0" applyFont="1" applyBorder="1" applyAlignment="1">
      <alignment horizontal="center" vertical="center" wrapText="1"/>
    </xf>
    <xf numFmtId="0" fontId="189" fillId="0" borderId="113" xfId="4" quotePrefix="1" applyFont="1" applyFill="1" applyBorder="1" applyAlignment="1">
      <alignment horizontal="center" vertical="center"/>
    </xf>
    <xf numFmtId="0" fontId="185" fillId="0" borderId="111" xfId="0" applyFont="1" applyFill="1" applyBorder="1" applyAlignment="1">
      <alignment horizontal="center" vertical="center" wrapText="1"/>
    </xf>
    <xf numFmtId="0" fontId="185" fillId="0" borderId="111" xfId="0" applyFont="1" applyFill="1" applyBorder="1" applyAlignment="1">
      <alignment horizontal="center" wrapText="1"/>
    </xf>
    <xf numFmtId="0" fontId="189" fillId="0" borderId="28" xfId="4" applyFont="1" applyFill="1" applyBorder="1" applyAlignment="1">
      <alignment horizontal="center" vertical="center"/>
    </xf>
    <xf numFmtId="0" fontId="187" fillId="0" borderId="28" xfId="0" applyFont="1" applyBorder="1" applyAlignment="1">
      <alignment horizontal="center" vertical="center"/>
    </xf>
    <xf numFmtId="0" fontId="187" fillId="0" borderId="37" xfId="0" applyFont="1" applyBorder="1" applyAlignment="1">
      <alignment horizontal="center" vertical="center"/>
    </xf>
    <xf numFmtId="0" fontId="199" fillId="0" borderId="47" xfId="0" applyFont="1" applyBorder="1" applyAlignment="1">
      <alignment horizontal="center" vertical="center" wrapText="1"/>
    </xf>
    <xf numFmtId="0" fontId="184" fillId="0" borderId="47" xfId="0" applyFont="1" applyBorder="1" applyAlignment="1">
      <alignment wrapText="1"/>
    </xf>
    <xf numFmtId="3" fontId="192" fillId="27" borderId="47" xfId="4" applyNumberFormat="1" applyFont="1" applyFill="1" applyBorder="1" applyAlignment="1">
      <alignment horizontal="center" vertical="center"/>
    </xf>
    <xf numFmtId="3" fontId="192" fillId="23" borderId="111" xfId="4" applyNumberFormat="1" applyFont="1" applyFill="1" applyBorder="1" applyAlignment="1">
      <alignment horizontal="center" vertical="center"/>
    </xf>
    <xf numFmtId="0" fontId="189" fillId="0" borderId="113" xfId="4" quotePrefix="1" applyFont="1" applyFill="1" applyBorder="1" applyAlignment="1">
      <alignment horizontal="center" vertical="center" wrapText="1"/>
    </xf>
    <xf numFmtId="0" fontId="189" fillId="0" borderId="113" xfId="4" applyFont="1" applyFill="1" applyBorder="1" applyAlignment="1">
      <alignment horizontal="center" vertical="center" wrapText="1"/>
    </xf>
    <xf numFmtId="0" fontId="187" fillId="0" borderId="113" xfId="0" applyFont="1" applyBorder="1" applyAlignment="1">
      <alignment horizontal="center" vertical="center" wrapText="1"/>
    </xf>
    <xf numFmtId="3" fontId="180" fillId="0" borderId="111" xfId="4" applyNumberFormat="1" applyFont="1" applyFill="1" applyBorder="1" applyAlignment="1">
      <alignment horizontal="center" vertical="center" wrapText="1"/>
    </xf>
    <xf numFmtId="0" fontId="184" fillId="0" borderId="111" xfId="0" applyFont="1" applyFill="1" applyBorder="1" applyAlignment="1">
      <alignment horizontal="center" vertical="center" wrapText="1"/>
    </xf>
    <xf numFmtId="0" fontId="180" fillId="0" borderId="111" xfId="4" applyFont="1" applyFill="1" applyBorder="1" applyAlignment="1">
      <alignment horizontal="center" vertical="center" wrapText="1"/>
    </xf>
    <xf numFmtId="0" fontId="184" fillId="0" borderId="111" xfId="0" applyFont="1" applyFill="1" applyBorder="1" applyAlignment="1">
      <alignment wrapText="1"/>
    </xf>
    <xf numFmtId="0" fontId="188" fillId="2" borderId="9" xfId="4" applyFont="1" applyFill="1" applyBorder="1" applyAlignment="1">
      <alignment horizontal="left" vertical="center" wrapText="1"/>
    </xf>
    <xf numFmtId="0" fontId="188" fillId="2" borderId="35" xfId="4" applyFont="1" applyFill="1" applyBorder="1" applyAlignment="1">
      <alignment horizontal="left" vertical="center" wrapText="1"/>
    </xf>
    <xf numFmtId="0" fontId="188" fillId="2" borderId="7" xfId="4" applyFont="1" applyFill="1" applyBorder="1" applyAlignment="1">
      <alignment horizontal="left" vertical="center" wrapText="1"/>
    </xf>
    <xf numFmtId="0" fontId="190" fillId="0" borderId="111" xfId="4" applyFont="1" applyBorder="1" applyAlignment="1">
      <alignment horizontal="center" vertical="center" wrapText="1"/>
    </xf>
    <xf numFmtId="0" fontId="187" fillId="0" borderId="111" xfId="0" applyFont="1" applyBorder="1" applyAlignment="1">
      <alignment horizontal="center" vertical="center" wrapText="1"/>
    </xf>
    <xf numFmtId="0" fontId="193" fillId="0" borderId="111" xfId="6" applyFont="1" applyBorder="1" applyAlignment="1">
      <alignment horizontal="center" vertical="center" wrapText="1"/>
    </xf>
    <xf numFmtId="0" fontId="189" fillId="0" borderId="111" xfId="4" applyFont="1" applyBorder="1" applyAlignment="1">
      <alignment horizontal="center" vertical="center" wrapText="1"/>
    </xf>
    <xf numFmtId="0" fontId="179" fillId="19" borderId="111" xfId="4" applyFont="1" applyFill="1" applyBorder="1" applyAlignment="1">
      <alignment horizontal="center" vertical="center" wrapText="1"/>
    </xf>
    <xf numFmtId="0" fontId="187" fillId="19" borderId="111" xfId="0" applyFont="1" applyFill="1" applyBorder="1" applyAlignment="1">
      <alignment horizontal="center" vertical="center" wrapText="1"/>
    </xf>
    <xf numFmtId="0" fontId="192" fillId="2" borderId="111" xfId="0" applyFont="1" applyFill="1" applyBorder="1" applyAlignment="1">
      <alignment horizontal="center" vertical="center" wrapText="1"/>
    </xf>
    <xf numFmtId="0" fontId="180" fillId="2" borderId="111" xfId="0" applyFont="1" applyFill="1" applyBorder="1" applyAlignment="1">
      <alignment horizontal="center" vertical="center" wrapText="1"/>
    </xf>
    <xf numFmtId="0" fontId="180" fillId="0" borderId="111" xfId="4" applyFont="1" applyBorder="1" applyAlignment="1">
      <alignment horizontal="center" vertical="center" wrapText="1"/>
    </xf>
    <xf numFmtId="0" fontId="189" fillId="0" borderId="114" xfId="4" applyFont="1" applyBorder="1" applyAlignment="1">
      <alignment horizontal="center" vertical="center"/>
    </xf>
    <xf numFmtId="0" fontId="189" fillId="0" borderId="6" xfId="4" applyFont="1" applyBorder="1" applyAlignment="1">
      <alignment horizontal="center" vertical="center"/>
    </xf>
    <xf numFmtId="0" fontId="189" fillId="0" borderId="20" xfId="4" applyFont="1" applyBorder="1" applyAlignment="1">
      <alignment horizontal="center" vertical="center"/>
    </xf>
    <xf numFmtId="0" fontId="189" fillId="0" borderId="37" xfId="4" applyFont="1" applyFill="1" applyBorder="1" applyAlignment="1">
      <alignment horizontal="center" vertical="center"/>
    </xf>
    <xf numFmtId="0" fontId="199" fillId="0" borderId="47" xfId="0" applyFont="1" applyFill="1" applyBorder="1" applyAlignment="1">
      <alignment horizontal="center" vertical="center" wrapText="1"/>
    </xf>
    <xf numFmtId="0" fontId="0" fillId="0" borderId="182" xfId="0" applyFont="1" applyBorder="1" applyAlignment="1">
      <alignment horizontal="left" wrapText="1"/>
    </xf>
    <xf numFmtId="0" fontId="0" fillId="0" borderId="124" xfId="0" applyFont="1" applyBorder="1" applyAlignment="1">
      <alignment horizontal="left" wrapText="1"/>
    </xf>
    <xf numFmtId="0" fontId="44" fillId="2" borderId="124" xfId="0" applyFont="1" applyFill="1" applyBorder="1" applyAlignment="1">
      <alignment horizontal="left" vertical="center" wrapText="1"/>
    </xf>
    <xf numFmtId="0" fontId="48" fillId="0" borderId="126" xfId="0" quotePrefix="1" applyFont="1" applyFill="1" applyBorder="1" applyAlignment="1">
      <alignment horizontal="center" vertical="center" wrapText="1"/>
    </xf>
    <xf numFmtId="0" fontId="48" fillId="0" borderId="133" xfId="0" quotePrefix="1" applyFont="1" applyFill="1" applyBorder="1" applyAlignment="1">
      <alignment horizontal="center" vertical="center" wrapText="1"/>
    </xf>
    <xf numFmtId="0" fontId="48" fillId="0" borderId="158" xfId="0" quotePrefix="1" applyFont="1" applyFill="1" applyBorder="1" applyAlignment="1">
      <alignment horizontal="center" vertical="center" wrapText="1"/>
    </xf>
    <xf numFmtId="0" fontId="49" fillId="0" borderId="132" xfId="0" applyFont="1" applyFill="1" applyBorder="1" applyAlignment="1">
      <alignment horizontal="center" vertical="center" wrapText="1"/>
    </xf>
    <xf numFmtId="0" fontId="49" fillId="0" borderId="140" xfId="0" applyFont="1" applyFill="1" applyBorder="1" applyAlignment="1">
      <alignment horizontal="center" vertical="center" wrapText="1"/>
    </xf>
    <xf numFmtId="0" fontId="0" fillId="0" borderId="140" xfId="0" applyFont="1" applyBorder="1" applyAlignment="1">
      <alignment horizontal="center" wrapText="1"/>
    </xf>
    <xf numFmtId="0" fontId="0" fillId="0" borderId="144" xfId="0" applyFont="1" applyBorder="1" applyAlignment="1">
      <alignment horizontal="center" wrapText="1"/>
    </xf>
    <xf numFmtId="0" fontId="55" fillId="0" borderId="176" xfId="0" applyFont="1" applyFill="1" applyBorder="1" applyAlignment="1">
      <alignment horizontal="center" vertical="center" wrapText="1"/>
    </xf>
    <xf numFmtId="0" fontId="55" fillId="0" borderId="134" xfId="0" applyFont="1" applyFill="1" applyBorder="1" applyAlignment="1">
      <alignment horizontal="center" vertical="center" wrapText="1"/>
    </xf>
    <xf numFmtId="0" fontId="55" fillId="0" borderId="177" xfId="0" applyFont="1" applyFill="1" applyBorder="1" applyAlignment="1">
      <alignment horizontal="center" vertical="center" wrapText="1"/>
    </xf>
    <xf numFmtId="0" fontId="54" fillId="0" borderId="176" xfId="0" applyFont="1" applyBorder="1" applyAlignment="1">
      <alignment horizontal="center" vertical="center" wrapText="1"/>
    </xf>
    <xf numFmtId="0" fontId="54" fillId="0" borderId="177" xfId="0" applyFont="1" applyBorder="1" applyAlignment="1">
      <alignment horizontal="center" vertical="center" wrapText="1"/>
    </xf>
    <xf numFmtId="3" fontId="56" fillId="23" borderId="172" xfId="0" applyNumberFormat="1" applyFont="1" applyFill="1" applyBorder="1" applyAlignment="1">
      <alignment horizontal="center" vertical="center"/>
    </xf>
    <xf numFmtId="3" fontId="56" fillId="23" borderId="157" xfId="0" applyNumberFormat="1" applyFont="1" applyFill="1" applyBorder="1" applyAlignment="1">
      <alignment horizontal="center" vertical="center"/>
    </xf>
    <xf numFmtId="3" fontId="56" fillId="23" borderId="160" xfId="0" applyNumberFormat="1" applyFont="1" applyFill="1" applyBorder="1" applyAlignment="1">
      <alignment horizontal="center" vertical="center"/>
    </xf>
    <xf numFmtId="0" fontId="54" fillId="0" borderId="141" xfId="0" applyFont="1" applyBorder="1" applyAlignment="1">
      <alignment horizontal="center" vertical="center" wrapText="1"/>
    </xf>
    <xf numFmtId="0" fontId="0" fillId="0" borderId="182" xfId="0" applyFont="1" applyBorder="1"/>
    <xf numFmtId="0" fontId="0" fillId="0" borderId="184" xfId="0" applyFont="1" applyBorder="1"/>
    <xf numFmtId="0" fontId="49" fillId="0" borderId="126" xfId="0" applyFont="1" applyFill="1" applyBorder="1" applyAlignment="1">
      <alignment horizontal="center" vertical="center" wrapText="1"/>
    </xf>
    <xf numFmtId="0" fontId="49" fillId="0" borderId="133" xfId="0" applyFont="1" applyFill="1" applyBorder="1" applyAlignment="1">
      <alignment horizontal="center" vertical="center" wrapText="1"/>
    </xf>
    <xf numFmtId="0" fontId="0" fillId="0" borderId="133" xfId="0" applyFont="1" applyBorder="1" applyAlignment="1">
      <alignment horizontal="center" vertical="center" wrapText="1"/>
    </xf>
    <xf numFmtId="0" fontId="0" fillId="0" borderId="158" xfId="0" applyFont="1" applyBorder="1" applyAlignment="1">
      <alignment horizontal="center" vertical="center" wrapText="1"/>
    </xf>
    <xf numFmtId="0" fontId="54" fillId="0" borderId="134" xfId="0" applyFont="1" applyBorder="1" applyAlignment="1">
      <alignment horizontal="center" vertical="center" wrapText="1"/>
    </xf>
    <xf numFmtId="0" fontId="55" fillId="2" borderId="176" xfId="0" applyFont="1" applyFill="1" applyBorder="1" applyAlignment="1">
      <alignment horizontal="center" vertical="center" wrapText="1"/>
    </xf>
    <xf numFmtId="0" fontId="55" fillId="2" borderId="134" xfId="0" applyFont="1" applyFill="1" applyBorder="1" applyAlignment="1">
      <alignment horizontal="center" vertical="center" wrapText="1"/>
    </xf>
    <xf numFmtId="0" fontId="55" fillId="2" borderId="141" xfId="0" applyFont="1" applyFill="1" applyBorder="1" applyAlignment="1">
      <alignment horizontal="center" vertical="center" wrapText="1"/>
    </xf>
    <xf numFmtId="0" fontId="44" fillId="2" borderId="130" xfId="0" applyFont="1" applyFill="1" applyBorder="1" applyAlignment="1">
      <alignment horizontal="left" vertical="center" wrapText="1"/>
    </xf>
    <xf numFmtId="49" fontId="53" fillId="0" borderId="130" xfId="3" applyNumberFormat="1" applyFont="1" applyBorder="1" applyAlignment="1">
      <alignment horizontal="center" vertical="center" wrapText="1"/>
    </xf>
    <xf numFmtId="49" fontId="53" fillId="0" borderId="124" xfId="3" applyNumberFormat="1" applyFont="1" applyBorder="1" applyAlignment="1">
      <alignment horizontal="center" vertical="center" wrapText="1"/>
    </xf>
    <xf numFmtId="49" fontId="53" fillId="0" borderId="125" xfId="3" applyNumberFormat="1" applyFont="1" applyBorder="1" applyAlignment="1">
      <alignment horizontal="center" vertical="center" wrapText="1"/>
    </xf>
    <xf numFmtId="49" fontId="53" fillId="0" borderId="132" xfId="3" applyNumberFormat="1" applyFont="1" applyBorder="1" applyAlignment="1">
      <alignment horizontal="center" vertical="center" wrapText="1"/>
    </xf>
    <xf numFmtId="49" fontId="53" fillId="0" borderId="140" xfId="3" applyNumberFormat="1" applyFont="1" applyBorder="1" applyAlignment="1">
      <alignment horizontal="center" vertical="center" wrapText="1"/>
    </xf>
    <xf numFmtId="0" fontId="0" fillId="0" borderId="140" xfId="0" applyFont="1" applyBorder="1"/>
    <xf numFmtId="0" fontId="48" fillId="2" borderId="126" xfId="0" quotePrefix="1" applyFont="1" applyFill="1" applyBorder="1" applyAlignment="1">
      <alignment horizontal="center" vertical="center" wrapText="1"/>
    </xf>
    <xf numFmtId="0" fontId="48" fillId="2" borderId="133" xfId="0" quotePrefix="1" applyFont="1" applyFill="1" applyBorder="1" applyAlignment="1">
      <alignment horizontal="center" vertical="center" wrapText="1"/>
    </xf>
    <xf numFmtId="0" fontId="48" fillId="2" borderId="158" xfId="0" quotePrefix="1" applyFont="1" applyFill="1" applyBorder="1" applyAlignment="1">
      <alignment horizontal="center" vertical="center" wrapText="1"/>
    </xf>
    <xf numFmtId="49" fontId="53" fillId="0" borderId="126" xfId="3" applyNumberFormat="1" applyFont="1" applyBorder="1" applyAlignment="1">
      <alignment horizontal="center" vertical="center" wrapText="1"/>
    </xf>
    <xf numFmtId="49" fontId="53" fillId="0" borderId="133" xfId="3" applyNumberFormat="1" applyFont="1" applyBorder="1" applyAlignment="1">
      <alignment horizontal="center" vertical="center" wrapText="1"/>
    </xf>
    <xf numFmtId="49" fontId="53" fillId="0" borderId="158" xfId="3" applyNumberFormat="1" applyFont="1" applyBorder="1" applyAlignment="1">
      <alignment horizontal="center" vertical="center" wrapText="1"/>
    </xf>
    <xf numFmtId="49" fontId="53" fillId="0" borderId="144" xfId="3" applyNumberFormat="1" applyFont="1" applyBorder="1" applyAlignment="1">
      <alignment horizontal="center" vertical="center" wrapText="1"/>
    </xf>
    <xf numFmtId="0" fontId="49" fillId="0" borderId="124" xfId="0" applyFont="1" applyFill="1" applyBorder="1" applyAlignment="1">
      <alignment horizontal="left" vertical="top" wrapText="1"/>
    </xf>
    <xf numFmtId="0" fontId="69" fillId="0" borderId="176" xfId="0" applyFont="1" applyBorder="1" applyAlignment="1">
      <alignment horizontal="center" vertical="center" wrapText="1"/>
    </xf>
    <xf numFmtId="0" fontId="69" fillId="0" borderId="134" xfId="0" applyFont="1" applyBorder="1" applyAlignment="1">
      <alignment horizontal="center" vertical="center" wrapText="1"/>
    </xf>
    <xf numFmtId="0" fontId="69" fillId="0" borderId="141" xfId="0" applyFont="1" applyBorder="1" applyAlignment="1">
      <alignment horizontal="center" vertical="center" wrapText="1"/>
    </xf>
    <xf numFmtId="0" fontId="0" fillId="0" borderId="133" xfId="0" applyFont="1" applyBorder="1"/>
    <xf numFmtId="0" fontId="0" fillId="0" borderId="140" xfId="0" applyFont="1" applyBorder="1" applyAlignment="1">
      <alignment horizontal="center" vertical="center" wrapText="1"/>
    </xf>
    <xf numFmtId="0" fontId="0" fillId="0" borderId="144" xfId="0" applyFont="1" applyBorder="1" applyAlignment="1">
      <alignment horizontal="center" vertical="center" wrapText="1"/>
    </xf>
    <xf numFmtId="0" fontId="69" fillId="0" borderId="177" xfId="0" applyFont="1" applyBorder="1" applyAlignment="1">
      <alignment horizontal="center" vertical="center" wrapText="1"/>
    </xf>
    <xf numFmtId="43" fontId="56" fillId="23" borderId="172" xfId="1" applyFont="1" applyFill="1" applyBorder="1" applyAlignment="1">
      <alignment horizontal="center" vertical="center"/>
    </xf>
    <xf numFmtId="43" fontId="56" fillId="23" borderId="157" xfId="1" applyFont="1" applyFill="1" applyBorder="1" applyAlignment="1">
      <alignment horizontal="center" vertical="center"/>
    </xf>
    <xf numFmtId="43" fontId="56" fillId="23" borderId="160" xfId="1" applyFont="1" applyFill="1" applyBorder="1" applyAlignment="1">
      <alignment horizontal="center" vertical="center"/>
    </xf>
    <xf numFmtId="0" fontId="56" fillId="2" borderId="176" xfId="0" applyFont="1" applyFill="1" applyBorder="1" applyAlignment="1">
      <alignment horizontal="center" vertical="top" wrapText="1"/>
    </xf>
    <xf numFmtId="0" fontId="56" fillId="2" borderId="177" xfId="0" applyFont="1" applyFill="1" applyBorder="1" applyAlignment="1">
      <alignment horizontal="center" vertical="top" wrapText="1"/>
    </xf>
    <xf numFmtId="0" fontId="48" fillId="0" borderId="132" xfId="4" applyFont="1" applyBorder="1" applyAlignment="1">
      <alignment horizontal="center" vertical="center" wrapText="1"/>
    </xf>
    <xf numFmtId="0" fontId="48" fillId="0" borderId="140" xfId="4" applyFont="1" applyBorder="1" applyAlignment="1">
      <alignment horizontal="center" vertical="center" wrapText="1"/>
    </xf>
    <xf numFmtId="0" fontId="48" fillId="0" borderId="144" xfId="4" applyFont="1" applyBorder="1" applyAlignment="1">
      <alignment horizontal="center" vertical="center" wrapText="1"/>
    </xf>
    <xf numFmtId="0" fontId="51" fillId="19" borderId="128" xfId="4" applyFont="1" applyFill="1" applyBorder="1" applyAlignment="1">
      <alignment horizontal="center" vertical="center" wrapText="1"/>
    </xf>
    <xf numFmtId="0" fontId="0" fillId="19" borderId="135" xfId="0" applyFont="1" applyFill="1" applyBorder="1" applyAlignment="1">
      <alignment horizontal="center" vertical="center" wrapText="1"/>
    </xf>
    <xf numFmtId="0" fontId="0" fillId="19" borderId="142" xfId="0" applyFont="1" applyFill="1" applyBorder="1" applyAlignment="1">
      <alignment horizontal="center" vertical="center" wrapText="1"/>
    </xf>
    <xf numFmtId="3" fontId="56" fillId="8" borderId="128" xfId="0" applyNumberFormat="1" applyFont="1" applyFill="1" applyBorder="1" applyAlignment="1">
      <alignment vertical="top"/>
    </xf>
    <xf numFmtId="3" fontId="62" fillId="8" borderId="135" xfId="0" applyNumberFormat="1" applyFont="1" applyFill="1" applyBorder="1" applyAlignment="1"/>
    <xf numFmtId="0" fontId="55" fillId="8" borderId="127" xfId="0" applyFont="1" applyFill="1" applyBorder="1" applyAlignment="1">
      <alignment horizontal="center" vertical="center" wrapText="1"/>
    </xf>
    <xf numFmtId="0" fontId="55" fillId="8" borderId="177" xfId="0" applyFont="1" applyFill="1" applyBorder="1" applyAlignment="1">
      <alignment horizontal="center" vertical="center" wrapText="1"/>
    </xf>
    <xf numFmtId="0" fontId="34" fillId="2" borderId="128" xfId="0" applyFont="1" applyFill="1" applyBorder="1" applyAlignment="1">
      <alignment horizontal="center" vertical="center" wrapText="1"/>
    </xf>
    <xf numFmtId="0" fontId="34" fillId="2" borderId="139" xfId="0" applyFont="1" applyFill="1" applyBorder="1" applyAlignment="1">
      <alignment horizontal="center" vertical="center" wrapText="1"/>
    </xf>
    <xf numFmtId="0" fontId="56" fillId="0" borderId="129" xfId="4" applyFont="1" applyBorder="1" applyAlignment="1">
      <alignment horizontal="center" vertical="center" wrapText="1"/>
    </xf>
    <xf numFmtId="0" fontId="56" fillId="0" borderId="130" xfId="4" applyFont="1" applyBorder="1" applyAlignment="1">
      <alignment horizontal="center" vertical="center" wrapText="1"/>
    </xf>
    <xf numFmtId="0" fontId="56" fillId="0" borderId="131" xfId="4" applyFont="1" applyBorder="1" applyAlignment="1">
      <alignment horizontal="center" vertical="center" wrapText="1"/>
    </xf>
    <xf numFmtId="0" fontId="56" fillId="0" borderId="136" xfId="4" applyFont="1" applyBorder="1" applyAlignment="1">
      <alignment horizontal="center" vertical="center" wrapText="1"/>
    </xf>
    <xf numFmtId="0" fontId="56" fillId="0" borderId="137" xfId="4" applyFont="1" applyBorder="1" applyAlignment="1">
      <alignment horizontal="center" vertical="center" wrapText="1"/>
    </xf>
    <xf numFmtId="0" fontId="56" fillId="0" borderId="138" xfId="4" applyFont="1" applyBorder="1" applyAlignment="1">
      <alignment horizontal="center" vertical="center" wrapText="1"/>
    </xf>
    <xf numFmtId="0" fontId="47" fillId="2" borderId="125" xfId="0" applyFont="1" applyFill="1" applyBorder="1" applyAlignment="1">
      <alignment vertical="top"/>
    </xf>
    <xf numFmtId="0" fontId="49" fillId="0" borderId="127" xfId="4" applyFont="1" applyBorder="1" applyAlignment="1">
      <alignment horizontal="center" vertical="center" wrapText="1"/>
    </xf>
    <xf numFmtId="0" fontId="0" fillId="0" borderId="134" xfId="0" applyFont="1" applyBorder="1" applyAlignment="1">
      <alignment horizontal="center" vertical="center" wrapText="1"/>
    </xf>
    <xf numFmtId="0" fontId="0" fillId="0" borderId="141" xfId="0" applyFont="1" applyBorder="1" applyAlignment="1">
      <alignment horizontal="center" vertical="center" wrapText="1"/>
    </xf>
    <xf numFmtId="0" fontId="49" fillId="0" borderId="128" xfId="4" applyFont="1" applyBorder="1" applyAlignment="1">
      <alignment horizontal="center" vertical="center" wrapText="1"/>
    </xf>
    <xf numFmtId="0" fontId="53" fillId="0" borderId="135" xfId="6" applyFont="1" applyBorder="1" applyAlignment="1">
      <alignment horizontal="center" vertical="center" wrapText="1"/>
    </xf>
    <xf numFmtId="0" fontId="53" fillId="0" borderId="142" xfId="6" applyFont="1" applyBorder="1" applyAlignment="1">
      <alignment horizontal="center" vertical="center" wrapText="1"/>
    </xf>
    <xf numFmtId="0" fontId="50" fillId="2" borderId="129" xfId="0" applyFont="1" applyFill="1" applyBorder="1" applyAlignment="1">
      <alignment horizontal="center" vertical="center" wrapText="1"/>
    </xf>
    <xf numFmtId="0" fontId="50" fillId="2" borderId="130" xfId="0" applyFont="1" applyFill="1" applyBorder="1" applyAlignment="1">
      <alignment horizontal="center" vertical="center" wrapText="1"/>
    </xf>
    <xf numFmtId="0" fontId="50" fillId="2" borderId="131" xfId="0" applyFont="1" applyFill="1" applyBorder="1" applyAlignment="1">
      <alignment horizontal="center" vertical="center" wrapText="1"/>
    </xf>
    <xf numFmtId="0" fontId="50" fillId="2" borderId="136" xfId="0" applyFont="1" applyFill="1" applyBorder="1" applyAlignment="1">
      <alignment horizontal="center" vertical="center" wrapText="1"/>
    </xf>
    <xf numFmtId="0" fontId="50" fillId="2" borderId="137" xfId="0" applyFont="1" applyFill="1" applyBorder="1" applyAlignment="1">
      <alignment horizontal="center" vertical="center" wrapText="1"/>
    </xf>
    <xf numFmtId="0" fontId="50" fillId="2" borderId="138" xfId="0" applyFont="1" applyFill="1" applyBorder="1" applyAlignment="1">
      <alignment horizontal="center" vertical="center" wrapText="1"/>
    </xf>
    <xf numFmtId="0" fontId="55" fillId="2" borderId="129" xfId="0" applyFont="1" applyFill="1" applyBorder="1" applyAlignment="1">
      <alignment horizontal="center" vertical="center" wrapText="1"/>
    </xf>
    <xf numFmtId="0" fontId="55" fillId="2" borderId="136" xfId="0" applyFont="1" applyFill="1" applyBorder="1" applyAlignment="1">
      <alignment horizontal="center" vertical="center" wrapText="1"/>
    </xf>
    <xf numFmtId="0" fontId="55" fillId="8" borderId="126" xfId="0" applyFont="1" applyFill="1" applyBorder="1" applyAlignment="1">
      <alignment horizontal="left" vertical="center" wrapText="1"/>
    </xf>
    <xf numFmtId="0" fontId="55" fillId="8" borderId="161" xfId="0" applyFont="1" applyFill="1" applyBorder="1" applyAlignment="1">
      <alignment horizontal="left" vertical="center" wrapText="1"/>
    </xf>
    <xf numFmtId="0" fontId="48" fillId="0" borderId="5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25" xfId="0" applyFont="1" applyBorder="1" applyAlignment="1">
      <alignment vertical="center" wrapText="1"/>
    </xf>
    <xf numFmtId="0" fontId="54" fillId="0" borderId="63" xfId="0" applyFont="1" applyBorder="1" applyAlignment="1">
      <alignment horizontal="center" vertical="center" wrapText="1"/>
    </xf>
    <xf numFmtId="0" fontId="54" fillId="0" borderId="12" xfId="0" applyFont="1" applyBorder="1" applyAlignment="1">
      <alignment horizontal="center" vertical="center" wrapText="1"/>
    </xf>
    <xf numFmtId="0" fontId="48" fillId="0" borderId="5" xfId="0" applyFont="1" applyFill="1" applyBorder="1" applyAlignment="1">
      <alignment horizontal="center" vertical="center"/>
    </xf>
    <xf numFmtId="0" fontId="48" fillId="0" borderId="11" xfId="0" applyFont="1" applyFill="1" applyBorder="1" applyAlignment="1">
      <alignment horizontal="center" vertical="center"/>
    </xf>
    <xf numFmtId="0" fontId="54" fillId="0" borderId="73" xfId="0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4" fillId="0" borderId="22" xfId="0" applyFont="1" applyBorder="1" applyAlignment="1">
      <alignment horizontal="center" vertical="center" wrapText="1"/>
    </xf>
    <xf numFmtId="0" fontId="48" fillId="0" borderId="11" xfId="0" applyFont="1" applyFill="1" applyBorder="1" applyAlignment="1">
      <alignment horizontal="center" vertical="center" wrapText="1"/>
    </xf>
    <xf numFmtId="0" fontId="49" fillId="0" borderId="43" xfId="0" applyFont="1" applyFill="1" applyBorder="1" applyAlignment="1">
      <alignment horizontal="center" vertical="center" wrapText="1"/>
    </xf>
    <xf numFmtId="0" fontId="0" fillId="0" borderId="67" xfId="0" applyFont="1" applyBorder="1"/>
    <xf numFmtId="0" fontId="0" fillId="0" borderId="0" xfId="0" applyFont="1" applyBorder="1"/>
    <xf numFmtId="0" fontId="52" fillId="0" borderId="43" xfId="0" applyFont="1" applyFill="1" applyBorder="1" applyAlignment="1">
      <alignment horizontal="center" vertical="center" wrapText="1"/>
    </xf>
    <xf numFmtId="0" fontId="52" fillId="0" borderId="41" xfId="0" applyFont="1" applyFill="1" applyBorder="1" applyAlignment="1">
      <alignment horizontal="center" vertical="center" wrapText="1"/>
    </xf>
    <xf numFmtId="3" fontId="51" fillId="0" borderId="42" xfId="0" applyNumberFormat="1" applyFont="1" applyFill="1" applyBorder="1" applyAlignment="1">
      <alignment horizontal="center" vertical="center" wrapText="1"/>
    </xf>
    <xf numFmtId="3" fontId="51" fillId="0" borderId="43" xfId="0" applyNumberFormat="1" applyFont="1" applyFill="1" applyBorder="1" applyAlignment="1">
      <alignment horizontal="center" vertical="center" wrapText="1"/>
    </xf>
    <xf numFmtId="3" fontId="51" fillId="0" borderId="46" xfId="0" applyNumberFormat="1" applyFont="1" applyFill="1" applyBorder="1" applyAlignment="1">
      <alignment horizontal="center" vertical="center" wrapText="1"/>
    </xf>
    <xf numFmtId="3" fontId="51" fillId="32" borderId="42" xfId="0" applyNumberFormat="1" applyFont="1" applyFill="1" applyBorder="1" applyAlignment="1">
      <alignment horizontal="center" vertical="center" wrapText="1"/>
    </xf>
    <xf numFmtId="3" fontId="51" fillId="32" borderId="43" xfId="0" applyNumberFormat="1" applyFont="1" applyFill="1" applyBorder="1" applyAlignment="1">
      <alignment horizontal="center" vertical="center" wrapText="1"/>
    </xf>
    <xf numFmtId="0" fontId="149" fillId="0" borderId="73" xfId="0" applyFont="1" applyBorder="1" applyAlignment="1">
      <alignment horizontal="center" vertical="center" wrapText="1"/>
    </xf>
    <xf numFmtId="0" fontId="149" fillId="0" borderId="20" xfId="0" applyFont="1" applyBorder="1" applyAlignment="1">
      <alignment horizontal="center" vertical="center" wrapText="1"/>
    </xf>
    <xf numFmtId="0" fontId="149" fillId="0" borderId="22" xfId="0" applyFont="1" applyBorder="1" applyAlignment="1">
      <alignment horizontal="center" vertical="center" wrapText="1"/>
    </xf>
    <xf numFmtId="3" fontId="120" fillId="23" borderId="63" xfId="0" applyNumberFormat="1" applyFont="1" applyFill="1" applyBorder="1" applyAlignment="1">
      <alignment horizontal="center" vertical="center"/>
    </xf>
    <xf numFmtId="3" fontId="120" fillId="23" borderId="13" xfId="0" applyNumberFormat="1" applyFont="1" applyFill="1" applyBorder="1" applyAlignment="1">
      <alignment horizontal="center" vertical="center"/>
    </xf>
    <xf numFmtId="3" fontId="120" fillId="23" borderId="12" xfId="0" applyNumberFormat="1" applyFont="1" applyFill="1" applyBorder="1" applyAlignment="1">
      <alignment horizontal="center" vertical="center"/>
    </xf>
    <xf numFmtId="0" fontId="153" fillId="0" borderId="11" xfId="0" applyFont="1" applyFill="1" applyBorder="1" applyAlignment="1">
      <alignment horizontal="center" vertical="center"/>
    </xf>
    <xf numFmtId="0" fontId="120" fillId="2" borderId="73" xfId="0" applyFont="1" applyFill="1" applyBorder="1" applyAlignment="1">
      <alignment horizontal="center" vertical="center" wrapText="1"/>
    </xf>
    <xf numFmtId="0" fontId="149" fillId="0" borderId="6" xfId="0" applyFont="1" applyBorder="1" applyAlignment="1">
      <alignment horizontal="center" vertical="center" wrapText="1"/>
    </xf>
    <xf numFmtId="0" fontId="56" fillId="2" borderId="73" xfId="0" applyFont="1" applyFill="1" applyBorder="1" applyAlignment="1">
      <alignment horizontal="center" vertical="center" wrapText="1"/>
    </xf>
    <xf numFmtId="0" fontId="54" fillId="0" borderId="6" xfId="0" applyFont="1" applyBorder="1" applyAlignment="1">
      <alignment horizontal="center" vertical="center" wrapText="1"/>
    </xf>
    <xf numFmtId="0" fontId="0" fillId="0" borderId="73" xfId="0" applyFont="1" applyBorder="1" applyAlignment="1">
      <alignment horizontal="center" vertical="center"/>
    </xf>
    <xf numFmtId="0" fontId="47" fillId="2" borderId="24" xfId="0" applyFont="1" applyFill="1" applyBorder="1" applyAlignment="1">
      <alignment horizontal="left" vertical="center" wrapText="1"/>
    </xf>
    <xf numFmtId="3" fontId="56" fillId="23" borderId="63" xfId="0" applyNumberFormat="1" applyFont="1" applyFill="1" applyBorder="1" applyAlignment="1">
      <alignment horizontal="center" vertical="center"/>
    </xf>
    <xf numFmtId="3" fontId="56" fillId="23" borderId="13" xfId="0" applyNumberFormat="1" applyFont="1" applyFill="1" applyBorder="1" applyAlignment="1">
      <alignment horizontal="center" vertical="center"/>
    </xf>
    <xf numFmtId="3" fontId="56" fillId="23" borderId="12" xfId="0" applyNumberFormat="1" applyFont="1" applyFill="1" applyBorder="1" applyAlignment="1">
      <alignment horizontal="center" vertical="center"/>
    </xf>
    <xf numFmtId="0" fontId="48" fillId="58" borderId="5" xfId="0" applyFont="1" applyFill="1" applyBorder="1" applyAlignment="1">
      <alignment horizontal="center" vertical="center" wrapText="1"/>
    </xf>
    <xf numFmtId="0" fontId="0" fillId="58" borderId="11" xfId="0" applyFont="1" applyFill="1" applyBorder="1" applyAlignment="1">
      <alignment vertical="center" wrapText="1"/>
    </xf>
    <xf numFmtId="0" fontId="0" fillId="58" borderId="25" xfId="0" applyFont="1" applyFill="1" applyBorder="1" applyAlignment="1">
      <alignment vertical="center" wrapText="1"/>
    </xf>
    <xf numFmtId="0" fontId="113" fillId="0" borderId="66" xfId="0" applyFont="1" applyFill="1" applyBorder="1" applyAlignment="1">
      <alignment horizontal="center" vertical="center" wrapText="1"/>
    </xf>
    <xf numFmtId="0" fontId="129" fillId="0" borderId="67" xfId="0" applyFont="1" applyBorder="1" applyAlignment="1">
      <alignment horizontal="center" wrapText="1"/>
    </xf>
    <xf numFmtId="0" fontId="129" fillId="0" borderId="69" xfId="0" applyFont="1" applyBorder="1" applyAlignment="1">
      <alignment horizontal="center" wrapText="1"/>
    </xf>
    <xf numFmtId="3" fontId="55" fillId="23" borderId="63" xfId="0" applyNumberFormat="1" applyFont="1" applyFill="1" applyBorder="1" applyAlignment="1">
      <alignment horizontal="center" vertical="center"/>
    </xf>
    <xf numFmtId="3" fontId="55" fillId="23" borderId="13" xfId="0" applyNumberFormat="1" applyFont="1" applyFill="1" applyBorder="1" applyAlignment="1">
      <alignment horizontal="center" vertical="center"/>
    </xf>
    <xf numFmtId="3" fontId="55" fillId="23" borderId="12" xfId="0" applyNumberFormat="1" applyFont="1" applyFill="1" applyBorder="1" applyAlignment="1">
      <alignment horizontal="center" vertical="center"/>
    </xf>
    <xf numFmtId="0" fontId="49" fillId="0" borderId="66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wrapText="1"/>
    </xf>
    <xf numFmtId="0" fontId="0" fillId="0" borderId="69" xfId="0" applyFont="1" applyBorder="1" applyAlignment="1">
      <alignment horizontal="center" wrapText="1"/>
    </xf>
    <xf numFmtId="0" fontId="51" fillId="0" borderId="5" xfId="0" applyFont="1" applyBorder="1" applyAlignment="1">
      <alignment horizontal="center" vertical="center" wrapText="1"/>
    </xf>
    <xf numFmtId="0" fontId="51" fillId="0" borderId="11" xfId="0" applyFont="1" applyBorder="1" applyAlignment="1">
      <alignment horizontal="center" vertical="center" wrapText="1"/>
    </xf>
    <xf numFmtId="0" fontId="51" fillId="0" borderId="25" xfId="0" applyFont="1" applyBorder="1" applyAlignment="1">
      <alignment horizontal="center" vertical="center" wrapText="1"/>
    </xf>
    <xf numFmtId="0" fontId="49" fillId="0" borderId="6" xfId="4" applyFont="1" applyBorder="1" applyAlignment="1">
      <alignment horizontal="center" vertical="center" wrapText="1"/>
    </xf>
    <xf numFmtId="0" fontId="49" fillId="0" borderId="22" xfId="4" applyFont="1" applyBorder="1" applyAlignment="1">
      <alignment horizontal="center" vertical="center" wrapText="1"/>
    </xf>
    <xf numFmtId="0" fontId="49" fillId="0" borderId="13" xfId="4" applyFont="1" applyBorder="1" applyAlignment="1">
      <alignment horizontal="center" vertical="center" wrapText="1"/>
    </xf>
    <xf numFmtId="0" fontId="49" fillId="0" borderId="12" xfId="4" applyFont="1" applyBorder="1" applyAlignment="1">
      <alignment horizontal="center" vertical="center" wrapText="1"/>
    </xf>
    <xf numFmtId="0" fontId="50" fillId="2" borderId="2" xfId="0" applyFont="1" applyFill="1" applyBorder="1" applyAlignment="1">
      <alignment horizontal="center" vertical="center" wrapText="1"/>
    </xf>
    <xf numFmtId="0" fontId="50" fillId="2" borderId="3" xfId="0" applyFont="1" applyFill="1" applyBorder="1" applyAlignment="1">
      <alignment horizontal="center" vertical="center" wrapText="1"/>
    </xf>
    <xf numFmtId="0" fontId="50" fillId="2" borderId="4" xfId="0" applyFont="1" applyFill="1" applyBorder="1" applyAlignment="1">
      <alignment horizontal="center" vertical="center" wrapText="1"/>
    </xf>
    <xf numFmtId="0" fontId="50" fillId="2" borderId="7" xfId="0" applyFont="1" applyFill="1" applyBorder="1" applyAlignment="1">
      <alignment horizontal="center" vertical="center" wrapText="1"/>
    </xf>
    <xf numFmtId="0" fontId="50" fillId="2" borderId="8" xfId="0" applyFont="1" applyFill="1" applyBorder="1" applyAlignment="1">
      <alignment horizontal="center" vertical="center" wrapText="1"/>
    </xf>
    <xf numFmtId="0" fontId="50" fillId="2" borderId="9" xfId="0" applyFont="1" applyFill="1" applyBorder="1" applyAlignment="1">
      <alignment horizontal="center" vertical="center" wrapText="1"/>
    </xf>
    <xf numFmtId="0" fontId="48" fillId="0" borderId="66" xfId="4" applyFont="1" applyBorder="1" applyAlignment="1">
      <alignment horizontal="center" vertical="center" wrapText="1"/>
    </xf>
    <xf numFmtId="0" fontId="48" fillId="0" borderId="67" xfId="4" applyFont="1" applyBorder="1" applyAlignment="1">
      <alignment horizontal="center" vertical="center" wrapText="1"/>
    </xf>
    <xf numFmtId="0" fontId="48" fillId="0" borderId="69" xfId="4" applyFont="1" applyBorder="1" applyAlignment="1">
      <alignment horizontal="center" vertical="center" wrapText="1"/>
    </xf>
    <xf numFmtId="0" fontId="153" fillId="2" borderId="42" xfId="0" applyFont="1" applyFill="1" applyBorder="1" applyAlignment="1">
      <alignment horizontal="center" vertical="center" wrapText="1"/>
    </xf>
    <xf numFmtId="0" fontId="109" fillId="2" borderId="43" xfId="0" applyFont="1" applyFill="1" applyBorder="1" applyAlignment="1">
      <alignment horizontal="center" wrapText="1"/>
    </xf>
    <xf numFmtId="0" fontId="109" fillId="2" borderId="41" xfId="0" applyFont="1" applyFill="1" applyBorder="1" applyAlignment="1">
      <alignment horizontal="center" wrapText="1"/>
    </xf>
    <xf numFmtId="0" fontId="149" fillId="0" borderId="99" xfId="0" applyFont="1" applyBorder="1" applyAlignment="1">
      <alignment horizontal="center" vertical="center" wrapText="1"/>
    </xf>
    <xf numFmtId="0" fontId="48" fillId="0" borderId="42" xfId="0" applyFont="1" applyFill="1" applyBorder="1" applyAlignment="1">
      <alignment horizontal="center" vertical="center" wrapText="1"/>
    </xf>
    <xf numFmtId="0" fontId="69" fillId="0" borderId="43" xfId="0" applyFont="1" applyBorder="1" applyAlignment="1">
      <alignment horizontal="center" wrapText="1"/>
    </xf>
    <xf numFmtId="0" fontId="69" fillId="0" borderId="41" xfId="0" applyFont="1" applyBorder="1" applyAlignment="1">
      <alignment horizontal="center" wrapText="1"/>
    </xf>
    <xf numFmtId="0" fontId="56" fillId="2" borderId="99" xfId="0" applyFont="1" applyFill="1" applyBorder="1" applyAlignment="1">
      <alignment horizontal="center" vertical="center" wrapText="1"/>
    </xf>
    <xf numFmtId="0" fontId="56" fillId="2" borderId="6" xfId="0" applyFont="1" applyFill="1" applyBorder="1" applyAlignment="1">
      <alignment horizontal="center" vertical="center" wrapText="1"/>
    </xf>
    <xf numFmtId="0" fontId="56" fillId="2" borderId="20" xfId="0" applyFont="1" applyFill="1" applyBorder="1" applyAlignment="1">
      <alignment horizontal="center" vertical="center" wrapText="1"/>
    </xf>
    <xf numFmtId="3" fontId="56" fillId="23" borderId="103" xfId="0" applyNumberFormat="1" applyFont="1" applyFill="1" applyBorder="1" applyAlignment="1">
      <alignment horizontal="center" vertical="center"/>
    </xf>
    <xf numFmtId="0" fontId="68" fillId="0" borderId="26" xfId="4" applyFont="1" applyFill="1" applyBorder="1" applyAlignment="1">
      <alignment horizontal="center" vertical="center" wrapText="1"/>
    </xf>
    <xf numFmtId="0" fontId="68" fillId="0" borderId="68" xfId="4" applyFont="1" applyFill="1" applyBorder="1" applyAlignment="1">
      <alignment horizontal="center" vertical="center" wrapText="1"/>
    </xf>
    <xf numFmtId="0" fontId="36" fillId="0" borderId="114" xfId="4" applyFont="1" applyFill="1" applyBorder="1" applyAlignment="1">
      <alignment horizontal="center" vertical="center" wrapText="1"/>
    </xf>
    <xf numFmtId="0" fontId="36" fillId="0" borderId="20" xfId="4" applyFont="1" applyFill="1" applyBorder="1" applyAlignment="1">
      <alignment horizontal="center" vertical="center" wrapText="1"/>
    </xf>
    <xf numFmtId="3" fontId="56" fillId="23" borderId="110" xfId="0" applyNumberFormat="1" applyFont="1" applyFill="1" applyBorder="1" applyAlignment="1">
      <alignment horizontal="center" vertical="center"/>
    </xf>
    <xf numFmtId="3" fontId="56" fillId="23" borderId="35" xfId="0" applyNumberFormat="1" applyFont="1" applyFill="1" applyBorder="1" applyAlignment="1">
      <alignment horizontal="center" vertical="center"/>
    </xf>
    <xf numFmtId="0" fontId="48" fillId="2" borderId="5" xfId="0" applyFont="1" applyFill="1" applyBorder="1" applyAlignment="1">
      <alignment horizontal="center" vertical="center"/>
    </xf>
    <xf numFmtId="0" fontId="48" fillId="2" borderId="11" xfId="0" applyFont="1" applyFill="1" applyBorder="1" applyAlignment="1">
      <alignment horizontal="center" vertical="center"/>
    </xf>
    <xf numFmtId="0" fontId="48" fillId="2" borderId="25" xfId="0" applyFont="1" applyFill="1" applyBorder="1" applyAlignment="1">
      <alignment horizontal="center" vertical="center"/>
    </xf>
    <xf numFmtId="0" fontId="56" fillId="0" borderId="99" xfId="0" applyFont="1" applyFill="1" applyBorder="1" applyAlignment="1">
      <alignment horizontal="center" vertical="center" wrapText="1"/>
    </xf>
    <xf numFmtId="0" fontId="153" fillId="0" borderId="25" xfId="0" applyFont="1" applyFill="1" applyBorder="1" applyAlignment="1">
      <alignment horizontal="center" vertical="center"/>
    </xf>
    <xf numFmtId="0" fontId="54" fillId="0" borderId="99" xfId="0" applyFont="1" applyBorder="1" applyAlignment="1">
      <alignment horizontal="center" vertical="center" wrapText="1"/>
    </xf>
    <xf numFmtId="0" fontId="48" fillId="2" borderId="42" xfId="0" applyFont="1" applyFill="1" applyBorder="1" applyAlignment="1">
      <alignment horizontal="center" vertical="center" wrapText="1"/>
    </xf>
    <xf numFmtId="0" fontId="48" fillId="2" borderId="43" xfId="0" applyFont="1" applyFill="1" applyBorder="1" applyAlignment="1">
      <alignment horizontal="center" vertical="center" wrapText="1"/>
    </xf>
    <xf numFmtId="0" fontId="48" fillId="2" borderId="41" xfId="0" applyFont="1" applyFill="1" applyBorder="1" applyAlignment="1">
      <alignment horizontal="center" vertical="center" wrapText="1"/>
    </xf>
    <xf numFmtId="0" fontId="153" fillId="2" borderId="43" xfId="0" applyFont="1" applyFill="1" applyBorder="1" applyAlignment="1">
      <alignment horizontal="center" vertical="center" wrapText="1"/>
    </xf>
    <xf numFmtId="0" fontId="51" fillId="0" borderId="52" xfId="0" applyFont="1" applyBorder="1" applyAlignment="1">
      <alignment horizontal="center" vertical="center" wrapText="1"/>
    </xf>
    <xf numFmtId="0" fontId="51" fillId="19" borderId="13" xfId="4" applyFont="1" applyFill="1" applyBorder="1" applyAlignment="1">
      <alignment horizontal="center" vertical="center" wrapText="1"/>
    </xf>
    <xf numFmtId="0" fontId="51" fillId="19" borderId="12" xfId="4" applyFont="1" applyFill="1" applyBorder="1" applyAlignment="1">
      <alignment horizontal="center" vertical="center" wrapText="1"/>
    </xf>
    <xf numFmtId="0" fontId="51" fillId="2" borderId="42" xfId="0" applyFont="1" applyFill="1" applyBorder="1" applyAlignment="1">
      <alignment horizontal="center" vertical="center" wrapText="1"/>
    </xf>
    <xf numFmtId="0" fontId="57" fillId="2" borderId="43" xfId="0" applyFont="1" applyFill="1" applyBorder="1" applyAlignment="1">
      <alignment horizontal="center" wrapText="1"/>
    </xf>
    <xf numFmtId="0" fontId="57" fillId="2" borderId="41" xfId="0" applyFont="1" applyFill="1" applyBorder="1" applyAlignment="1">
      <alignment horizontal="center" wrapText="1"/>
    </xf>
    <xf numFmtId="0" fontId="54" fillId="0" borderId="114" xfId="0" applyFont="1" applyBorder="1" applyAlignment="1">
      <alignment horizontal="center" vertical="center" wrapText="1"/>
    </xf>
    <xf numFmtId="3" fontId="120" fillId="23" borderId="103" xfId="0" applyNumberFormat="1" applyFont="1" applyFill="1" applyBorder="1" applyAlignment="1">
      <alignment horizontal="center" vertical="center"/>
    </xf>
    <xf numFmtId="3" fontId="55" fillId="23" borderId="103" xfId="0" applyNumberFormat="1" applyFont="1" applyFill="1" applyBorder="1" applyAlignment="1">
      <alignment horizontal="center" vertical="center"/>
    </xf>
    <xf numFmtId="0" fontId="48" fillId="0" borderId="25" xfId="0" applyFont="1" applyFill="1" applyBorder="1" applyAlignment="1">
      <alignment horizontal="center" vertical="center"/>
    </xf>
    <xf numFmtId="0" fontId="56" fillId="2" borderId="114" xfId="0" applyFont="1" applyFill="1" applyBorder="1" applyAlignment="1">
      <alignment horizontal="center" vertical="center" wrapText="1"/>
    </xf>
    <xf numFmtId="0" fontId="69" fillId="2" borderId="43" xfId="0" applyFont="1" applyFill="1" applyBorder="1" applyAlignment="1">
      <alignment horizontal="center" wrapText="1"/>
    </xf>
    <xf numFmtId="0" fontId="69" fillId="2" borderId="41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 vertical="center"/>
    </xf>
    <xf numFmtId="0" fontId="62" fillId="33" borderId="0" xfId="0" applyFont="1" applyFill="1" applyBorder="1" applyAlignment="1">
      <alignment horizontal="left" vertical="center" wrapText="1"/>
    </xf>
    <xf numFmtId="0" fontId="48" fillId="0" borderId="43" xfId="0" applyFont="1" applyFill="1" applyBorder="1" applyAlignment="1">
      <alignment horizontal="center" vertical="center" wrapText="1"/>
    </xf>
    <xf numFmtId="0" fontId="0" fillId="0" borderId="41" xfId="0" applyFont="1" applyBorder="1"/>
    <xf numFmtId="3" fontId="56" fillId="29" borderId="42" xfId="0" applyNumberFormat="1" applyFont="1" applyFill="1" applyBorder="1" applyAlignment="1">
      <alignment horizontal="center" vertical="center" wrapText="1"/>
    </xf>
    <xf numFmtId="3" fontId="56" fillId="29" borderId="43" xfId="0" applyNumberFormat="1" applyFont="1" applyFill="1" applyBorder="1" applyAlignment="1">
      <alignment horizontal="center" vertical="center" wrapText="1"/>
    </xf>
    <xf numFmtId="3" fontId="56" fillId="29" borderId="41" xfId="0" applyNumberFormat="1" applyFont="1" applyFill="1" applyBorder="1" applyAlignment="1">
      <alignment horizontal="center" vertical="center" wrapText="1"/>
    </xf>
    <xf numFmtId="0" fontId="56" fillId="8" borderId="99" xfId="0" applyFont="1" applyFill="1" applyBorder="1" applyAlignment="1">
      <alignment horizontal="center" vertical="center" wrapText="1"/>
    </xf>
    <xf numFmtId="0" fontId="56" fillId="8" borderId="6" xfId="0" applyFont="1" applyFill="1" applyBorder="1" applyAlignment="1">
      <alignment horizontal="center" vertical="center" wrapText="1"/>
    </xf>
    <xf numFmtId="0" fontId="57" fillId="0" borderId="66" xfId="0" applyFont="1" applyBorder="1" applyAlignment="1">
      <alignment horizontal="center" vertical="center" wrapText="1"/>
    </xf>
    <xf numFmtId="0" fontId="57" fillId="0" borderId="67" xfId="0" applyFont="1" applyBorder="1"/>
    <xf numFmtId="0" fontId="57" fillId="0" borderId="69" xfId="0" applyFont="1" applyBorder="1"/>
    <xf numFmtId="0" fontId="54" fillId="2" borderId="22" xfId="0" applyFont="1" applyFill="1" applyBorder="1" applyAlignment="1">
      <alignment horizontal="center" vertical="center" wrapText="1"/>
    </xf>
    <xf numFmtId="3" fontId="35" fillId="8" borderId="79" xfId="0" applyNumberFormat="1" applyFont="1" applyFill="1" applyBorder="1" applyAlignment="1">
      <alignment horizontal="center" vertical="top"/>
    </xf>
    <xf numFmtId="3" fontId="35" fillId="8" borderId="18" xfId="0" applyNumberFormat="1" applyFont="1" applyFill="1" applyBorder="1" applyAlignment="1">
      <alignment horizontal="center" vertical="top"/>
    </xf>
    <xf numFmtId="3" fontId="35" fillId="8" borderId="17" xfId="0" applyNumberFormat="1" applyFont="1" applyFill="1" applyBorder="1" applyAlignment="1">
      <alignment horizontal="center" vertical="top"/>
    </xf>
    <xf numFmtId="0" fontId="48" fillId="0" borderId="41" xfId="0" applyFont="1" applyFill="1" applyBorder="1" applyAlignment="1">
      <alignment horizontal="center" vertical="center" wrapText="1"/>
    </xf>
    <xf numFmtId="3" fontId="62" fillId="8" borderId="79" xfId="0" applyNumberFormat="1" applyFont="1" applyFill="1" applyBorder="1" applyAlignment="1">
      <alignment horizontal="center" vertical="top"/>
    </xf>
    <xf numFmtId="3" fontId="62" fillId="8" borderId="18" xfId="0" applyNumberFormat="1" applyFont="1" applyFill="1" applyBorder="1" applyAlignment="1">
      <alignment horizontal="center" vertical="top"/>
    </xf>
    <xf numFmtId="3" fontId="62" fillId="8" borderId="17" xfId="0" applyNumberFormat="1" applyFont="1" applyFill="1" applyBorder="1" applyAlignment="1">
      <alignment horizontal="center" vertical="top"/>
    </xf>
    <xf numFmtId="0" fontId="153" fillId="0" borderId="42" xfId="0" applyFont="1" applyFill="1" applyBorder="1" applyAlignment="1">
      <alignment horizontal="center" vertical="center" wrapText="1"/>
    </xf>
    <xf numFmtId="0" fontId="109" fillId="0" borderId="43" xfId="0" applyFont="1" applyBorder="1" applyAlignment="1">
      <alignment horizontal="center" wrapText="1"/>
    </xf>
    <xf numFmtId="0" fontId="109" fillId="0" borderId="41" xfId="0" applyFont="1" applyBorder="1" applyAlignment="1">
      <alignment horizontal="center" wrapText="1"/>
    </xf>
    <xf numFmtId="0" fontId="120" fillId="2" borderId="99" xfId="0" applyFont="1" applyFill="1" applyBorder="1" applyAlignment="1">
      <alignment horizontal="center" vertical="center" wrapText="1"/>
    </xf>
    <xf numFmtId="0" fontId="120" fillId="2" borderId="6" xfId="0" applyFont="1" applyFill="1" applyBorder="1" applyAlignment="1">
      <alignment horizontal="center" vertical="center" wrapText="1"/>
    </xf>
    <xf numFmtId="0" fontId="135" fillId="0" borderId="114" xfId="4" applyFont="1" applyFill="1" applyBorder="1" applyAlignment="1">
      <alignment horizontal="center" vertical="center" wrapText="1"/>
    </xf>
    <xf numFmtId="0" fontId="135" fillId="0" borderId="6" xfId="4" applyFont="1" applyFill="1" applyBorder="1" applyAlignment="1">
      <alignment horizontal="center" vertical="center" wrapText="1"/>
    </xf>
    <xf numFmtId="0" fontId="135" fillId="0" borderId="20" xfId="4" applyFont="1" applyFill="1" applyBorder="1" applyAlignment="1">
      <alignment horizontal="center" vertical="center" wrapText="1"/>
    </xf>
    <xf numFmtId="0" fontId="119" fillId="0" borderId="114" xfId="0" applyFont="1" applyFill="1" applyBorder="1" applyAlignment="1">
      <alignment horizontal="center" vertical="center" wrapText="1"/>
    </xf>
    <xf numFmtId="0" fontId="119" fillId="0" borderId="6" xfId="0" applyFont="1" applyFill="1" applyBorder="1" applyAlignment="1">
      <alignment horizontal="center" vertical="center" wrapText="1"/>
    </xf>
    <xf numFmtId="0" fontId="119" fillId="0" borderId="114" xfId="0" applyFont="1" applyBorder="1" applyAlignment="1">
      <alignment horizontal="center" vertical="center" wrapText="1"/>
    </xf>
    <xf numFmtId="0" fontId="119" fillId="0" borderId="6" xfId="0" applyFont="1" applyBorder="1" applyAlignment="1">
      <alignment horizontal="center" vertical="center" wrapText="1"/>
    </xf>
    <xf numFmtId="0" fontId="119" fillId="0" borderId="20" xfId="0" applyFont="1" applyBorder="1" applyAlignment="1">
      <alignment horizontal="center" vertical="center" wrapText="1"/>
    </xf>
    <xf numFmtId="0" fontId="136" fillId="0" borderId="114" xfId="4" applyFont="1" applyFill="1" applyBorder="1" applyAlignment="1">
      <alignment horizontal="center" vertical="center" wrapText="1"/>
    </xf>
    <xf numFmtId="0" fontId="136" fillId="0" borderId="20" xfId="4" applyFont="1" applyFill="1" applyBorder="1" applyAlignment="1">
      <alignment horizontal="center" vertical="center"/>
    </xf>
    <xf numFmtId="0" fontId="135" fillId="0" borderId="6" xfId="0" applyFont="1" applyFill="1" applyBorder="1" applyAlignment="1">
      <alignment horizontal="center" vertical="center" wrapText="1"/>
    </xf>
    <xf numFmtId="0" fontId="135" fillId="0" borderId="20" xfId="0" applyFont="1" applyFill="1" applyBorder="1" applyAlignment="1">
      <alignment horizontal="center" vertical="center" wrapText="1"/>
    </xf>
    <xf numFmtId="0" fontId="153" fillId="0" borderId="115" xfId="0" applyFont="1" applyFill="1" applyBorder="1" applyAlignment="1">
      <alignment horizontal="center" vertical="center"/>
    </xf>
    <xf numFmtId="0" fontId="153" fillId="0" borderId="21" xfId="0" applyFont="1" applyFill="1" applyBorder="1" applyAlignment="1">
      <alignment horizontal="center" vertical="center"/>
    </xf>
    <xf numFmtId="0" fontId="136" fillId="0" borderId="6" xfId="4" applyFont="1" applyFill="1" applyBorder="1" applyAlignment="1">
      <alignment horizontal="center" vertical="center" wrapText="1"/>
    </xf>
    <xf numFmtId="0" fontId="136" fillId="0" borderId="20" xfId="4" applyFont="1" applyFill="1" applyBorder="1" applyAlignment="1">
      <alignment horizontal="center" vertical="center" wrapText="1"/>
    </xf>
    <xf numFmtId="0" fontId="119" fillId="0" borderId="22" xfId="0" applyFont="1" applyBorder="1" applyAlignment="1">
      <alignment horizontal="center" vertical="center" wrapText="1"/>
    </xf>
    <xf numFmtId="0" fontId="186" fillId="0" borderId="1" xfId="0" applyFont="1" applyBorder="1" applyAlignment="1">
      <alignment horizontal="center" vertical="center"/>
    </xf>
    <xf numFmtId="0" fontId="186" fillId="0" borderId="26" xfId="0" applyFont="1" applyBorder="1" applyAlignment="1">
      <alignment horizontal="center" vertical="center"/>
    </xf>
    <xf numFmtId="0" fontId="186" fillId="0" borderId="68" xfId="0" applyFont="1" applyBorder="1" applyAlignment="1">
      <alignment horizontal="center" vertical="center"/>
    </xf>
    <xf numFmtId="0" fontId="182" fillId="0" borderId="42" xfId="0" applyFont="1" applyFill="1" applyBorder="1" applyAlignment="1">
      <alignment horizontal="center" vertical="center" wrapText="1"/>
    </xf>
    <xf numFmtId="0" fontId="182" fillId="0" borderId="43" xfId="0" applyFont="1" applyFill="1" applyBorder="1" applyAlignment="1">
      <alignment horizontal="center" vertical="center" wrapText="1"/>
    </xf>
    <xf numFmtId="0" fontId="182" fillId="0" borderId="67" xfId="0" applyFont="1" applyFill="1" applyBorder="1" applyAlignment="1">
      <alignment horizontal="center" vertical="center" wrapText="1"/>
    </xf>
    <xf numFmtId="0" fontId="187" fillId="0" borderId="69" xfId="0" applyFont="1" applyBorder="1"/>
    <xf numFmtId="3" fontId="180" fillId="2" borderId="110" xfId="4" applyNumberFormat="1" applyFont="1" applyFill="1" applyBorder="1" applyAlignment="1">
      <alignment horizontal="center" vertical="center" wrapText="1"/>
    </xf>
    <xf numFmtId="3" fontId="180" fillId="2" borderId="13" xfId="4" applyNumberFormat="1" applyFont="1" applyFill="1" applyBorder="1" applyAlignment="1">
      <alignment horizontal="center" vertical="center" wrapText="1"/>
    </xf>
    <xf numFmtId="3" fontId="180" fillId="2" borderId="35" xfId="4" applyNumberFormat="1" applyFont="1" applyFill="1" applyBorder="1" applyAlignment="1">
      <alignment horizontal="center" vertical="center" wrapText="1"/>
    </xf>
    <xf numFmtId="0" fontId="185" fillId="0" borderId="110" xfId="0" applyFont="1" applyBorder="1" applyAlignment="1">
      <alignment horizontal="center" vertical="center"/>
    </xf>
    <xf numFmtId="0" fontId="185" fillId="0" borderId="35" xfId="0" applyFont="1" applyBorder="1" applyAlignment="1">
      <alignment horizontal="center" vertical="center"/>
    </xf>
    <xf numFmtId="0" fontId="185" fillId="0" borderId="12" xfId="0" applyFont="1" applyBorder="1" applyAlignment="1">
      <alignment horizontal="center" vertical="center"/>
    </xf>
    <xf numFmtId="3" fontId="180" fillId="23" borderId="110" xfId="0" applyNumberFormat="1" applyFont="1" applyFill="1" applyBorder="1" applyAlignment="1">
      <alignment horizontal="center" vertical="center"/>
    </xf>
    <xf numFmtId="3" fontId="180" fillId="23" borderId="13" xfId="0" applyNumberFormat="1" applyFont="1" applyFill="1" applyBorder="1" applyAlignment="1">
      <alignment horizontal="center" vertical="center"/>
    </xf>
    <xf numFmtId="3" fontId="180" fillId="23" borderId="12" xfId="0" applyNumberFormat="1" applyFont="1" applyFill="1" applyBorder="1" applyAlignment="1">
      <alignment horizontal="center" vertical="center"/>
    </xf>
    <xf numFmtId="0" fontId="51" fillId="2" borderId="14" xfId="0" applyFont="1" applyFill="1" applyBorder="1" applyAlignment="1">
      <alignment horizontal="center" vertical="center" wrapText="1"/>
    </xf>
    <xf numFmtId="0" fontId="51" fillId="2" borderId="6" xfId="0" applyFont="1" applyFill="1" applyBorder="1" applyAlignment="1">
      <alignment horizontal="center" vertical="center" wrapText="1"/>
    </xf>
    <xf numFmtId="0" fontId="0" fillId="0" borderId="68" xfId="0" applyFont="1" applyBorder="1"/>
    <xf numFmtId="0" fontId="52" fillId="0" borderId="42" xfId="0" applyFont="1" applyFill="1" applyBorder="1" applyAlignment="1">
      <alignment horizontal="center" vertical="center" wrapText="1"/>
    </xf>
    <xf numFmtId="0" fontId="52" fillId="0" borderId="67" xfId="0" applyFont="1" applyFill="1" applyBorder="1" applyAlignment="1">
      <alignment horizontal="center" vertical="center" wrapText="1"/>
    </xf>
    <xf numFmtId="0" fontId="0" fillId="0" borderId="69" xfId="0" applyFont="1" applyBorder="1"/>
    <xf numFmtId="0" fontId="54" fillId="0" borderId="110" xfId="0" applyFont="1" applyBorder="1" applyAlignment="1">
      <alignment horizontal="center" vertical="center"/>
    </xf>
    <xf numFmtId="0" fontId="54" fillId="0" borderId="35" xfId="0" applyFont="1" applyBorder="1" applyAlignment="1">
      <alignment horizontal="center" vertical="center"/>
    </xf>
    <xf numFmtId="3" fontId="56" fillId="2" borderId="98" xfId="4" applyNumberFormat="1" applyFont="1" applyFill="1" applyBorder="1" applyAlignment="1">
      <alignment horizontal="center" vertical="center" wrapText="1"/>
    </xf>
    <xf numFmtId="0" fontId="63" fillId="0" borderId="110" xfId="0" applyFont="1" applyBorder="1" applyAlignment="1">
      <alignment horizontal="center" vertical="center"/>
    </xf>
    <xf numFmtId="0" fontId="51" fillId="2" borderId="22" xfId="0" applyFont="1" applyFill="1" applyBorder="1" applyAlignment="1">
      <alignment horizontal="center" vertical="center" wrapText="1"/>
    </xf>
    <xf numFmtId="0" fontId="179" fillId="2" borderId="14" xfId="0" applyFont="1" applyFill="1" applyBorder="1" applyAlignment="1">
      <alignment horizontal="center" vertical="center" wrapText="1"/>
    </xf>
    <xf numFmtId="0" fontId="179" fillId="2" borderId="6" xfId="0" applyFont="1" applyFill="1" applyBorder="1" applyAlignment="1">
      <alignment horizontal="center" vertical="center" wrapText="1"/>
    </xf>
    <xf numFmtId="0" fontId="179" fillId="2" borderId="22" xfId="0" applyFont="1" applyFill="1" applyBorder="1" applyAlignment="1">
      <alignment horizontal="center" vertical="center" wrapText="1"/>
    </xf>
    <xf numFmtId="0" fontId="182" fillId="0" borderId="41" xfId="0" applyFont="1" applyFill="1" applyBorder="1" applyAlignment="1">
      <alignment horizontal="center" vertical="center" wrapText="1"/>
    </xf>
    <xf numFmtId="3" fontId="180" fillId="2" borderId="98" xfId="4" applyNumberFormat="1" applyFont="1" applyFill="1" applyBorder="1" applyAlignment="1">
      <alignment horizontal="center" vertical="center" wrapText="1"/>
    </xf>
    <xf numFmtId="0" fontId="184" fillId="0" borderId="110" xfId="0" applyFont="1" applyBorder="1" applyAlignment="1">
      <alignment horizontal="center" vertical="center"/>
    </xf>
    <xf numFmtId="0" fontId="185" fillId="0" borderId="13" xfId="0" applyFont="1" applyBorder="1" applyAlignment="1">
      <alignment horizontal="center" vertical="center"/>
    </xf>
    <xf numFmtId="3" fontId="180" fillId="26" borderId="110" xfId="0" applyNumberFormat="1" applyFont="1" applyFill="1" applyBorder="1" applyAlignment="1">
      <alignment horizontal="center" vertical="center"/>
    </xf>
    <xf numFmtId="3" fontId="180" fillId="26" borderId="13" xfId="0" applyNumberFormat="1" applyFont="1" applyFill="1" applyBorder="1" applyAlignment="1">
      <alignment horizontal="center" vertical="center"/>
    </xf>
    <xf numFmtId="3" fontId="180" fillId="26" borderId="12" xfId="0" applyNumberFormat="1" applyFont="1" applyFill="1" applyBorder="1" applyAlignment="1">
      <alignment horizontal="center" vertical="center"/>
    </xf>
    <xf numFmtId="0" fontId="51" fillId="2" borderId="16" xfId="0" applyFont="1" applyFill="1" applyBorder="1" applyAlignment="1">
      <alignment horizontal="center" vertical="center" wrapText="1"/>
    </xf>
    <xf numFmtId="0" fontId="0" fillId="2" borderId="28" xfId="0" applyFont="1" applyFill="1" applyBorder="1" applyAlignment="1">
      <alignment vertical="center" wrapText="1"/>
    </xf>
    <xf numFmtId="0" fontId="0" fillId="2" borderId="37" xfId="0" applyFont="1" applyFill="1" applyBorder="1" applyAlignment="1">
      <alignment vertical="center" wrapText="1"/>
    </xf>
    <xf numFmtId="0" fontId="63" fillId="0" borderId="98" xfId="0" applyFont="1" applyBorder="1" applyAlignment="1">
      <alignment horizontal="center" vertical="center"/>
    </xf>
    <xf numFmtId="0" fontId="63" fillId="0" borderId="47" xfId="0" applyFont="1" applyBorder="1" applyAlignment="1">
      <alignment horizontal="center" vertical="center"/>
    </xf>
    <xf numFmtId="3" fontId="56" fillId="2" borderId="110" xfId="4" applyNumberFormat="1" applyFont="1" applyFill="1" applyBorder="1" applyAlignment="1">
      <alignment horizontal="center" vertical="center" wrapText="1"/>
    </xf>
    <xf numFmtId="3" fontId="56" fillId="2" borderId="13" xfId="4" applyNumberFormat="1" applyFont="1" applyFill="1" applyBorder="1" applyAlignment="1">
      <alignment horizontal="center" vertical="center" wrapText="1"/>
    </xf>
    <xf numFmtId="3" fontId="56" fillId="26" borderId="120" xfId="0" applyNumberFormat="1" applyFont="1" applyFill="1" applyBorder="1" applyAlignment="1">
      <alignment horizontal="center" vertical="center"/>
    </xf>
    <xf numFmtId="3" fontId="56" fillId="26" borderId="10" xfId="0" applyNumberFormat="1" applyFont="1" applyFill="1" applyBorder="1" applyAlignment="1">
      <alignment horizontal="center" vertical="center"/>
    </xf>
    <xf numFmtId="3" fontId="56" fillId="26" borderId="74" xfId="0" applyNumberFormat="1" applyFont="1" applyFill="1" applyBorder="1" applyAlignment="1">
      <alignment horizontal="center" vertical="center"/>
    </xf>
    <xf numFmtId="0" fontId="51" fillId="0" borderId="39" xfId="0" applyFont="1" applyBorder="1" applyAlignment="1">
      <alignment horizontal="center" vertical="center" wrapText="1"/>
    </xf>
    <xf numFmtId="0" fontId="49" fillId="0" borderId="4" xfId="4" applyFont="1" applyBorder="1" applyAlignment="1">
      <alignment horizontal="center" vertical="center" wrapText="1"/>
    </xf>
    <xf numFmtId="0" fontId="0" fillId="0" borderId="27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" fontId="51" fillId="8" borderId="43" xfId="0" applyNumberFormat="1" applyFont="1" applyFill="1" applyBorder="1" applyAlignment="1">
      <alignment horizontal="center" vertical="center" wrapText="1"/>
    </xf>
    <xf numFmtId="3" fontId="51" fillId="8" borderId="41" xfId="0" applyNumberFormat="1" applyFont="1" applyFill="1" applyBorder="1" applyAlignment="1">
      <alignment horizontal="center" vertical="center" wrapText="1"/>
    </xf>
    <xf numFmtId="0" fontId="58" fillId="8" borderId="98" xfId="4" applyFont="1" applyFill="1" applyBorder="1" applyAlignment="1">
      <alignment horizontal="center" vertical="center"/>
    </xf>
    <xf numFmtId="0" fontId="58" fillId="8" borderId="110" xfId="4" applyFont="1" applyFill="1" applyBorder="1" applyAlignment="1">
      <alignment horizontal="center" vertical="center"/>
    </xf>
    <xf numFmtId="0" fontId="58" fillId="8" borderId="13" xfId="4" applyFont="1" applyFill="1" applyBorder="1" applyAlignment="1">
      <alignment horizontal="center" vertical="center"/>
    </xf>
    <xf numFmtId="0" fontId="58" fillId="8" borderId="12" xfId="4" applyFont="1" applyFill="1" applyBorder="1" applyAlignment="1">
      <alignment horizontal="center" vertical="center"/>
    </xf>
    <xf numFmtId="0" fontId="51" fillId="19" borderId="4" xfId="4" applyFont="1" applyFill="1" applyBorder="1" applyAlignment="1">
      <alignment horizontal="center" vertical="center" wrapText="1"/>
    </xf>
    <xf numFmtId="0" fontId="0" fillId="19" borderId="27" xfId="0" applyFont="1" applyFill="1" applyBorder="1" applyAlignment="1">
      <alignment horizontal="center" vertical="center" wrapText="1"/>
    </xf>
    <xf numFmtId="0" fontId="0" fillId="19" borderId="23" xfId="0" applyFont="1" applyFill="1" applyBorder="1" applyAlignment="1">
      <alignment horizontal="center" vertical="center" wrapText="1"/>
    </xf>
    <xf numFmtId="3" fontId="56" fillId="24" borderId="110" xfId="0" applyNumberFormat="1" applyFont="1" applyFill="1" applyBorder="1" applyAlignment="1">
      <alignment horizontal="center" vertical="center"/>
    </xf>
    <xf numFmtId="3" fontId="56" fillId="24" borderId="13" xfId="0" applyNumberFormat="1" applyFont="1" applyFill="1" applyBorder="1" applyAlignment="1">
      <alignment horizontal="center" vertical="center"/>
    </xf>
    <xf numFmtId="3" fontId="56" fillId="24" borderId="12" xfId="0" applyNumberFormat="1" applyFont="1" applyFill="1" applyBorder="1" applyAlignment="1">
      <alignment horizontal="center" vertical="center"/>
    </xf>
    <xf numFmtId="0" fontId="55" fillId="0" borderId="43" xfId="4" applyFont="1" applyFill="1" applyBorder="1" applyAlignment="1">
      <alignment horizontal="center" vertical="center"/>
    </xf>
    <xf numFmtId="0" fontId="55" fillId="0" borderId="46" xfId="4" applyFont="1" applyFill="1" applyBorder="1" applyAlignment="1">
      <alignment horizontal="center" vertical="center"/>
    </xf>
    <xf numFmtId="0" fontId="49" fillId="0" borderId="13" xfId="4" applyFont="1" applyFill="1" applyBorder="1" applyAlignment="1">
      <alignment horizontal="center" vertical="center" wrapText="1"/>
    </xf>
    <xf numFmtId="0" fontId="49" fillId="0" borderId="35" xfId="4" applyFont="1" applyFill="1" applyBorder="1" applyAlignment="1">
      <alignment horizontal="center" vertical="center" wrapText="1"/>
    </xf>
    <xf numFmtId="0" fontId="56" fillId="2" borderId="28" xfId="4" applyFont="1" applyFill="1" applyBorder="1" applyAlignment="1">
      <alignment horizontal="center" vertical="center" wrapText="1"/>
    </xf>
    <xf numFmtId="0" fontId="0" fillId="0" borderId="117" xfId="0" applyFont="1" applyBorder="1"/>
    <xf numFmtId="0" fontId="63" fillId="0" borderId="28" xfId="0" applyFont="1" applyBorder="1" applyAlignment="1">
      <alignment horizontal="center" vertical="center" wrapText="1"/>
    </xf>
    <xf numFmtId="3" fontId="55" fillId="35" borderId="98" xfId="4" applyNumberFormat="1" applyFont="1" applyFill="1" applyBorder="1" applyAlignment="1">
      <alignment horizontal="center" vertical="center"/>
    </xf>
    <xf numFmtId="0" fontId="51" fillId="2" borderId="6" xfId="4" applyFont="1" applyFill="1" applyBorder="1" applyAlignment="1">
      <alignment horizontal="center" vertical="center" wrapText="1"/>
    </xf>
    <xf numFmtId="0" fontId="51" fillId="2" borderId="6" xfId="4" applyFont="1" applyFill="1" applyBorder="1" applyAlignment="1">
      <alignment horizontal="center" vertical="center" wrapText="1" shrinkToFit="1"/>
    </xf>
    <xf numFmtId="0" fontId="0" fillId="0" borderId="6" xfId="0" applyFont="1" applyBorder="1" applyAlignment="1">
      <alignment horizontal="center" wrapText="1" shrinkToFit="1"/>
    </xf>
    <xf numFmtId="0" fontId="52" fillId="0" borderId="13" xfId="4" applyFont="1" applyFill="1" applyBorder="1" applyAlignment="1">
      <alignment horizontal="center" vertical="center" wrapText="1"/>
    </xf>
    <xf numFmtId="0" fontId="56" fillId="2" borderId="6" xfId="4" applyFont="1" applyFill="1" applyBorder="1" applyAlignment="1">
      <alignment horizontal="center" vertical="center" wrapText="1"/>
    </xf>
    <xf numFmtId="0" fontId="56" fillId="2" borderId="6" xfId="4" applyFont="1" applyFill="1" applyBorder="1" applyAlignment="1">
      <alignment horizontal="center" vertical="center" wrapText="1" shrinkToFit="1"/>
    </xf>
    <xf numFmtId="3" fontId="56" fillId="23" borderId="13" xfId="4" applyNumberFormat="1" applyFont="1" applyFill="1" applyBorder="1" applyAlignment="1">
      <alignment horizontal="center" vertical="center"/>
    </xf>
    <xf numFmtId="0" fontId="116" fillId="0" borderId="43" xfId="4" applyFont="1" applyFill="1" applyBorder="1" applyAlignment="1">
      <alignment horizontal="center" vertical="center"/>
    </xf>
    <xf numFmtId="0" fontId="116" fillId="0" borderId="41" xfId="4" applyFont="1" applyFill="1" applyBorder="1" applyAlignment="1">
      <alignment horizontal="center" vertical="center"/>
    </xf>
    <xf numFmtId="0" fontId="113" fillId="0" borderId="111" xfId="4" applyFont="1" applyFill="1" applyBorder="1" applyAlignment="1">
      <alignment horizontal="center" vertical="center" wrapText="1"/>
    </xf>
    <xf numFmtId="0" fontId="113" fillId="0" borderId="47" xfId="4" applyFont="1" applyFill="1" applyBorder="1" applyAlignment="1">
      <alignment horizontal="center" vertical="center" wrapText="1"/>
    </xf>
    <xf numFmtId="0" fontId="116" fillId="2" borderId="28" xfId="4" applyFont="1" applyFill="1" applyBorder="1" applyAlignment="1">
      <alignment horizontal="center" vertical="center" wrapText="1"/>
    </xf>
    <xf numFmtId="0" fontId="116" fillId="2" borderId="28" xfId="4" applyFont="1" applyFill="1" applyBorder="1" applyAlignment="1">
      <alignment horizontal="center" vertical="center" wrapText="1" shrinkToFit="1"/>
    </xf>
    <xf numFmtId="0" fontId="116" fillId="2" borderId="37" xfId="4" applyFont="1" applyFill="1" applyBorder="1" applyAlignment="1">
      <alignment horizontal="center" vertical="center" wrapText="1" shrinkToFit="1"/>
    </xf>
    <xf numFmtId="3" fontId="116" fillId="23" borderId="111" xfId="4" applyNumberFormat="1" applyFont="1" applyFill="1" applyBorder="1" applyAlignment="1">
      <alignment horizontal="center" vertical="center"/>
    </xf>
    <xf numFmtId="3" fontId="116" fillId="23" borderId="47" xfId="4" applyNumberFormat="1" applyFont="1" applyFill="1" applyBorder="1" applyAlignment="1">
      <alignment horizontal="center" vertical="center"/>
    </xf>
    <xf numFmtId="0" fontId="55" fillId="0" borderId="43" xfId="0" applyFont="1" applyFill="1" applyBorder="1" applyAlignment="1">
      <alignment horizontal="center" vertical="center" wrapText="1"/>
    </xf>
    <xf numFmtId="0" fontId="63" fillId="0" borderId="43" xfId="0" applyFont="1" applyBorder="1" applyAlignment="1">
      <alignment vertical="center" wrapText="1"/>
    </xf>
    <xf numFmtId="0" fontId="49" fillId="0" borderId="27" xfId="0" applyFont="1" applyFill="1" applyBorder="1" applyAlignment="1">
      <alignment horizontal="center" vertical="center" wrapText="1"/>
    </xf>
    <xf numFmtId="0" fontId="63" fillId="0" borderId="28" xfId="0" applyFont="1" applyBorder="1" applyAlignment="1">
      <alignment horizontal="center" wrapText="1"/>
    </xf>
    <xf numFmtId="0" fontId="63" fillId="0" borderId="100" xfId="0" applyFont="1" applyBorder="1" applyAlignment="1">
      <alignment horizontal="center" wrapText="1"/>
    </xf>
    <xf numFmtId="0" fontId="56" fillId="2" borderId="100" xfId="4" applyFont="1" applyFill="1" applyBorder="1" applyAlignment="1">
      <alignment horizontal="center" vertical="center" wrapText="1"/>
    </xf>
    <xf numFmtId="3" fontId="56" fillId="23" borderId="98" xfId="4" applyNumberFormat="1" applyFont="1" applyFill="1" applyBorder="1" applyAlignment="1">
      <alignment horizontal="center" vertical="center"/>
    </xf>
    <xf numFmtId="0" fontId="116" fillId="0" borderId="43" xfId="4" quotePrefix="1" applyFont="1" applyFill="1" applyBorder="1" applyAlignment="1">
      <alignment horizontal="center" vertical="center"/>
    </xf>
    <xf numFmtId="0" fontId="116" fillId="0" borderId="10" xfId="4" applyFont="1" applyFill="1" applyBorder="1" applyAlignment="1">
      <alignment horizontal="center" vertical="center"/>
    </xf>
    <xf numFmtId="0" fontId="116" fillId="0" borderId="74" xfId="4" applyFont="1" applyFill="1" applyBorder="1" applyAlignment="1">
      <alignment horizontal="center" vertical="center"/>
    </xf>
    <xf numFmtId="0" fontId="113" fillId="0" borderId="110" xfId="4" applyFont="1" applyFill="1" applyBorder="1" applyAlignment="1">
      <alignment horizontal="center" vertical="center" wrapText="1"/>
    </xf>
    <xf numFmtId="0" fontId="113" fillId="0" borderId="13" xfId="4" applyFont="1" applyFill="1" applyBorder="1" applyAlignment="1">
      <alignment horizontal="center" vertical="center" wrapText="1"/>
    </xf>
    <xf numFmtId="0" fontId="113" fillId="0" borderId="12" xfId="4" applyFont="1" applyFill="1" applyBorder="1" applyAlignment="1">
      <alignment horizontal="center" vertical="center" wrapText="1"/>
    </xf>
    <xf numFmtId="0" fontId="120" fillId="2" borderId="113" xfId="4" applyFont="1" applyFill="1" applyBorder="1" applyAlignment="1">
      <alignment horizontal="center" vertical="center" wrapText="1"/>
    </xf>
    <xf numFmtId="0" fontId="124" fillId="0" borderId="113" xfId="0" applyFont="1" applyBorder="1" applyAlignment="1">
      <alignment horizontal="center" wrapText="1"/>
    </xf>
    <xf numFmtId="0" fontId="124" fillId="0" borderId="112" xfId="0" applyFont="1" applyBorder="1" applyAlignment="1">
      <alignment horizontal="center" wrapText="1"/>
    </xf>
    <xf numFmtId="0" fontId="120" fillId="2" borderId="112" xfId="4" applyFont="1" applyFill="1" applyBorder="1" applyAlignment="1">
      <alignment horizontal="center" vertical="center" wrapText="1"/>
    </xf>
    <xf numFmtId="0" fontId="120" fillId="2" borderId="72" xfId="4" applyFont="1" applyFill="1" applyBorder="1" applyAlignment="1">
      <alignment horizontal="center" vertical="center" wrapText="1"/>
    </xf>
    <xf numFmtId="0" fontId="55" fillId="2" borderId="28" xfId="4" applyFont="1" applyFill="1" applyBorder="1" applyAlignment="1">
      <alignment horizontal="center" vertical="center" wrapText="1"/>
    </xf>
    <xf numFmtId="3" fontId="55" fillId="23" borderId="98" xfId="4" applyNumberFormat="1" applyFont="1" applyFill="1" applyBorder="1" applyAlignment="1">
      <alignment horizontal="center" vertical="center"/>
    </xf>
    <xf numFmtId="0" fontId="55" fillId="0" borderId="41" xfId="4" applyFont="1" applyFill="1" applyBorder="1" applyAlignment="1">
      <alignment horizontal="center" vertical="center"/>
    </xf>
    <xf numFmtId="0" fontId="49" fillId="0" borderId="12" xfId="4" applyFont="1" applyFill="1" applyBorder="1" applyAlignment="1">
      <alignment horizontal="center" vertical="center" wrapText="1"/>
    </xf>
    <xf numFmtId="0" fontId="56" fillId="0" borderId="113" xfId="4" applyFont="1" applyFill="1" applyBorder="1" applyAlignment="1">
      <alignment horizontal="center" vertical="center" wrapText="1"/>
    </xf>
    <xf numFmtId="0" fontId="63" fillId="0" borderId="113" xfId="0" applyFont="1" applyFill="1" applyBorder="1" applyAlignment="1">
      <alignment horizontal="center" vertical="center" wrapText="1"/>
    </xf>
    <xf numFmtId="0" fontId="63" fillId="0" borderId="37" xfId="0" applyFont="1" applyFill="1" applyBorder="1" applyAlignment="1">
      <alignment horizontal="center" vertical="center" wrapText="1"/>
    </xf>
    <xf numFmtId="3" fontId="55" fillId="35" borderId="111" xfId="4" applyNumberFormat="1" applyFont="1" applyFill="1" applyBorder="1" applyAlignment="1">
      <alignment horizontal="center" vertical="center"/>
    </xf>
    <xf numFmtId="3" fontId="55" fillId="35" borderId="47" xfId="4" applyNumberFormat="1" applyFont="1" applyFill="1" applyBorder="1" applyAlignment="1">
      <alignment horizontal="center" vertical="center"/>
    </xf>
    <xf numFmtId="0" fontId="49" fillId="0" borderId="110" xfId="4" applyFont="1" applyFill="1" applyBorder="1" applyAlignment="1">
      <alignment horizontal="center" vertical="center" wrapText="1"/>
    </xf>
    <xf numFmtId="0" fontId="56" fillId="0" borderId="28" xfId="4" applyFont="1" applyFill="1" applyBorder="1" applyAlignment="1">
      <alignment horizontal="center" vertical="center" wrapText="1"/>
    </xf>
    <xf numFmtId="0" fontId="63" fillId="0" borderId="28" xfId="0" applyFont="1" applyFill="1" applyBorder="1" applyAlignment="1">
      <alignment horizontal="center" vertical="center" wrapText="1"/>
    </xf>
    <xf numFmtId="3" fontId="55" fillId="23" borderId="111" xfId="4" applyNumberFormat="1" applyFont="1" applyFill="1" applyBorder="1" applyAlignment="1">
      <alignment horizontal="center" vertical="center"/>
    </xf>
    <xf numFmtId="0" fontId="55" fillId="0" borderId="43" xfId="4" quotePrefix="1" applyFont="1" applyFill="1" applyBorder="1" applyAlignment="1">
      <alignment horizontal="center" vertical="center"/>
    </xf>
    <xf numFmtId="0" fontId="52" fillId="0" borderId="0" xfId="0" applyFont="1" applyBorder="1" applyAlignment="1">
      <alignment horizontal="center" vertical="top"/>
    </xf>
    <xf numFmtId="0" fontId="83" fillId="2" borderId="0" xfId="0" applyFont="1" applyFill="1" applyBorder="1" applyAlignment="1">
      <alignment horizontal="left" wrapText="1"/>
    </xf>
    <xf numFmtId="0" fontId="51" fillId="0" borderId="115" xfId="0" applyFont="1" applyBorder="1" applyAlignment="1">
      <alignment horizontal="center" vertical="center" wrapText="1"/>
    </xf>
    <xf numFmtId="0" fontId="51" fillId="0" borderId="21" xfId="0" applyFont="1" applyBorder="1" applyAlignment="1">
      <alignment horizontal="center" vertical="center" wrapText="1"/>
    </xf>
    <xf numFmtId="0" fontId="52" fillId="0" borderId="114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wrapText="1"/>
    </xf>
    <xf numFmtId="0" fontId="52" fillId="0" borderId="20" xfId="0" applyFont="1" applyBorder="1" applyAlignment="1">
      <alignment horizontal="center" vertical="center" wrapText="1"/>
    </xf>
    <xf numFmtId="0" fontId="52" fillId="0" borderId="119" xfId="0" applyFont="1" applyBorder="1" applyAlignment="1">
      <alignment horizontal="center" vertical="center" wrapText="1"/>
    </xf>
    <xf numFmtId="0" fontId="52" fillId="0" borderId="0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48" fillId="0" borderId="116" xfId="4" applyFont="1" applyBorder="1" applyAlignment="1">
      <alignment horizontal="center" vertical="center" wrapText="1"/>
    </xf>
    <xf numFmtId="0" fontId="48" fillId="0" borderId="27" xfId="4" applyFont="1" applyBorder="1" applyAlignment="1">
      <alignment horizontal="center" vertical="center" wrapText="1"/>
    </xf>
    <xf numFmtId="0" fontId="48" fillId="0" borderId="9" xfId="4" applyFont="1" applyBorder="1" applyAlignment="1">
      <alignment horizontal="center" vertical="center" wrapText="1"/>
    </xf>
    <xf numFmtId="0" fontId="50" fillId="2" borderId="120" xfId="0" applyFont="1" applyFill="1" applyBorder="1" applyAlignment="1">
      <alignment horizontal="center" vertical="center" wrapText="1"/>
    </xf>
    <xf numFmtId="0" fontId="50" fillId="2" borderId="119" xfId="0" applyFont="1" applyFill="1" applyBorder="1" applyAlignment="1">
      <alignment horizontal="center" vertical="center" wrapText="1"/>
    </xf>
    <xf numFmtId="0" fontId="51" fillId="19" borderId="116" xfId="4" applyFont="1" applyFill="1" applyBorder="1" applyAlignment="1">
      <alignment horizontal="center" vertical="center" wrapText="1"/>
    </xf>
    <xf numFmtId="0" fontId="0" fillId="19" borderId="9" xfId="0" applyFont="1" applyFill="1" applyBorder="1" applyAlignment="1">
      <alignment horizontal="center" vertical="center" wrapText="1"/>
    </xf>
    <xf numFmtId="0" fontId="55" fillId="2" borderId="120" xfId="0" applyFont="1" applyFill="1" applyBorder="1" applyAlignment="1">
      <alignment horizontal="center" vertical="center" wrapText="1"/>
    </xf>
    <xf numFmtId="0" fontId="55" fillId="2" borderId="10" xfId="0" applyFont="1" applyFill="1" applyBorder="1" applyAlignment="1">
      <alignment horizontal="center" vertical="center" wrapText="1"/>
    </xf>
    <xf numFmtId="0" fontId="34" fillId="2" borderId="110" xfId="0" applyFont="1" applyFill="1" applyBorder="1" applyAlignment="1">
      <alignment horizontal="center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56" fillId="0" borderId="120" xfId="4" applyFont="1" applyBorder="1" applyAlignment="1">
      <alignment horizontal="center" vertical="center" wrapText="1"/>
    </xf>
    <xf numFmtId="0" fontId="56" fillId="0" borderId="119" xfId="4" applyFont="1" applyBorder="1" applyAlignment="1">
      <alignment horizontal="center" vertical="center" wrapText="1"/>
    </xf>
    <xf numFmtId="0" fontId="56" fillId="0" borderId="116" xfId="4" applyFont="1" applyBorder="1" applyAlignment="1">
      <alignment horizontal="center" vertical="center" wrapText="1"/>
    </xf>
    <xf numFmtId="0" fontId="55" fillId="0" borderId="41" xfId="4" quotePrefix="1" applyFont="1" applyFill="1" applyBorder="1" applyAlignment="1">
      <alignment horizontal="center" vertical="center"/>
    </xf>
    <xf numFmtId="0" fontId="55" fillId="2" borderId="113" xfId="4" applyFont="1" applyFill="1" applyBorder="1" applyAlignment="1">
      <alignment horizontal="center" vertical="center" wrapText="1"/>
    </xf>
    <xf numFmtId="0" fontId="55" fillId="2" borderId="37" xfId="4" applyFont="1" applyFill="1" applyBorder="1" applyAlignment="1">
      <alignment horizontal="center" vertical="center" wrapText="1"/>
    </xf>
    <xf numFmtId="3" fontId="56" fillId="23" borderId="110" xfId="4" applyNumberFormat="1" applyFont="1" applyFill="1" applyBorder="1" applyAlignment="1">
      <alignment horizontal="center" vertical="center"/>
    </xf>
    <xf numFmtId="3" fontId="56" fillId="23" borderId="35" xfId="4" applyNumberFormat="1" applyFont="1" applyFill="1" applyBorder="1" applyAlignment="1">
      <alignment horizontal="center" vertical="center"/>
    </xf>
    <xf numFmtId="0" fontId="49" fillId="0" borderId="67" xfId="0" applyFont="1" applyFill="1" applyBorder="1" applyAlignment="1">
      <alignment horizontal="center" vertical="center" wrapText="1"/>
    </xf>
    <xf numFmtId="0" fontId="0" fillId="0" borderId="67" xfId="0" applyFont="1" applyBorder="1" applyAlignment="1">
      <alignment horizontal="center" vertical="center" wrapText="1"/>
    </xf>
    <xf numFmtId="0" fontId="56" fillId="2" borderId="99" xfId="4" applyFont="1" applyFill="1" applyBorder="1" applyAlignment="1">
      <alignment horizontal="center" vertical="center" wrapText="1"/>
    </xf>
    <xf numFmtId="3" fontId="55" fillId="27" borderId="103" xfId="4" applyNumberFormat="1" applyFont="1" applyFill="1" applyBorder="1" applyAlignment="1">
      <alignment horizontal="center" vertical="center"/>
    </xf>
    <xf numFmtId="3" fontId="56" fillId="2" borderId="99" xfId="4" applyNumberFormat="1" applyFont="1" applyFill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/>
    </xf>
    <xf numFmtId="0" fontId="48" fillId="0" borderId="11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0" borderId="42" xfId="0" applyFont="1" applyFill="1" applyBorder="1" applyAlignment="1">
      <alignment horizontal="center" vertical="center" wrapText="1"/>
    </xf>
    <xf numFmtId="0" fontId="49" fillId="0" borderId="41" xfId="0" applyFont="1" applyFill="1" applyBorder="1" applyAlignment="1">
      <alignment horizontal="center" vertical="center" wrapText="1"/>
    </xf>
    <xf numFmtId="0" fontId="56" fillId="8" borderId="73" xfId="0" applyFont="1" applyFill="1" applyBorder="1" applyAlignment="1">
      <alignment horizontal="center" vertical="center" wrapText="1"/>
    </xf>
    <xf numFmtId="0" fontId="48" fillId="0" borderId="25" xfId="0" applyFont="1" applyFill="1" applyBorder="1" applyAlignment="1">
      <alignment horizontal="center" vertical="center" wrapText="1"/>
    </xf>
    <xf numFmtId="0" fontId="51" fillId="2" borderId="99" xfId="4" applyFont="1" applyFill="1" applyBorder="1" applyAlignment="1">
      <alignment horizontal="center" vertical="center" wrapText="1"/>
    </xf>
    <xf numFmtId="0" fontId="51" fillId="2" borderId="20" xfId="4" applyFont="1" applyFill="1" applyBorder="1" applyAlignment="1">
      <alignment horizontal="center" vertical="center" wrapText="1"/>
    </xf>
    <xf numFmtId="0" fontId="51" fillId="2" borderId="22" xfId="4" applyFont="1" applyFill="1" applyBorder="1" applyAlignment="1">
      <alignment horizontal="center" vertical="center" wrapText="1"/>
    </xf>
    <xf numFmtId="3" fontId="48" fillId="27" borderId="103" xfId="4" applyNumberFormat="1" applyFont="1" applyFill="1" applyBorder="1" applyAlignment="1">
      <alignment horizontal="center" vertical="center"/>
    </xf>
    <xf numFmtId="0" fontId="153" fillId="0" borderId="11" xfId="0" applyFont="1" applyFill="1" applyBorder="1" applyAlignment="1">
      <alignment horizontal="center" vertical="center" wrapText="1"/>
    </xf>
    <xf numFmtId="0" fontId="129" fillId="0" borderId="11" xfId="0" applyFont="1" applyBorder="1" applyAlignment="1">
      <alignment vertical="center" wrapText="1"/>
    </xf>
    <xf numFmtId="0" fontId="129" fillId="0" borderId="25" xfId="0" applyFont="1" applyBorder="1" applyAlignment="1">
      <alignment vertical="center" wrapText="1"/>
    </xf>
    <xf numFmtId="0" fontId="113" fillId="0" borderId="67" xfId="0" applyFont="1" applyFill="1" applyBorder="1" applyAlignment="1">
      <alignment horizontal="center" vertical="center" wrapText="1"/>
    </xf>
    <xf numFmtId="0" fontId="129" fillId="0" borderId="67" xfId="0" applyFont="1" applyBorder="1" applyAlignment="1">
      <alignment horizontal="center" vertical="center" wrapText="1"/>
    </xf>
    <xf numFmtId="0" fontId="129" fillId="0" borderId="67" xfId="0" applyFont="1" applyBorder="1"/>
    <xf numFmtId="3" fontId="120" fillId="2" borderId="99" xfId="4" applyNumberFormat="1" applyFont="1" applyFill="1" applyBorder="1" applyAlignment="1">
      <alignment horizontal="center" vertical="center" wrapText="1"/>
    </xf>
    <xf numFmtId="3" fontId="120" fillId="2" borderId="20" xfId="4" applyNumberFormat="1" applyFont="1" applyFill="1" applyBorder="1" applyAlignment="1">
      <alignment horizontal="center" vertical="center" wrapText="1"/>
    </xf>
    <xf numFmtId="0" fontId="153" fillId="0" borderId="5" xfId="0" applyFont="1" applyFill="1" applyBorder="1" applyAlignment="1">
      <alignment horizontal="center" vertical="center" wrapText="1"/>
    </xf>
    <xf numFmtId="0" fontId="129" fillId="0" borderId="69" xfId="0" applyFont="1" applyBorder="1"/>
    <xf numFmtId="0" fontId="0" fillId="0" borderId="69" xfId="0" applyFont="1" applyBorder="1" applyAlignment="1">
      <alignment horizontal="center" vertical="center" wrapText="1"/>
    </xf>
    <xf numFmtId="0" fontId="153" fillId="0" borderId="25" xfId="0" applyFont="1" applyFill="1" applyBorder="1" applyAlignment="1">
      <alignment horizontal="center" vertical="center" wrapText="1"/>
    </xf>
    <xf numFmtId="3" fontId="120" fillId="2" borderId="26" xfId="4" applyNumberFormat="1" applyFont="1" applyFill="1" applyBorder="1" applyAlignment="1">
      <alignment horizontal="center" vertical="center" wrapText="1"/>
    </xf>
    <xf numFmtId="0" fontId="129" fillId="0" borderId="26" xfId="0" applyFont="1" applyBorder="1"/>
    <xf numFmtId="0" fontId="129" fillId="0" borderId="85" xfId="0" applyFont="1" applyBorder="1"/>
    <xf numFmtId="0" fontId="120" fillId="2" borderId="86" xfId="4" applyFont="1" applyFill="1" applyBorder="1" applyAlignment="1">
      <alignment horizontal="center" vertical="center" wrapText="1"/>
    </xf>
    <xf numFmtId="0" fontId="124" fillId="0" borderId="68" xfId="0" applyFont="1" applyBorder="1" applyAlignment="1">
      <alignment horizontal="center" vertical="center" wrapText="1"/>
    </xf>
    <xf numFmtId="0" fontId="57" fillId="0" borderId="5" xfId="0" applyFont="1" applyBorder="1" applyAlignment="1">
      <alignment horizontal="center" vertical="center" wrapText="1"/>
    </xf>
    <xf numFmtId="0" fontId="57" fillId="0" borderId="11" xfId="0" applyFont="1" applyBorder="1" applyAlignment="1">
      <alignment horizontal="center" vertical="center" wrapText="1"/>
    </xf>
    <xf numFmtId="0" fontId="57" fillId="0" borderId="25" xfId="0" applyFont="1" applyBorder="1" applyAlignment="1">
      <alignment horizontal="center" vertical="center" wrapText="1"/>
    </xf>
    <xf numFmtId="0" fontId="63" fillId="0" borderId="27" xfId="0" applyFont="1" applyBorder="1" applyAlignment="1">
      <alignment horizontal="center" vertical="center" wrapText="1"/>
    </xf>
    <xf numFmtId="0" fontId="54" fillId="0" borderId="65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47" fillId="2" borderId="24" xfId="0" applyFont="1" applyFill="1" applyBorder="1" applyAlignment="1">
      <alignment horizontal="left" vertical="top" wrapText="1"/>
    </xf>
    <xf numFmtId="0" fontId="51" fillId="0" borderId="1" xfId="0" applyFont="1" applyBorder="1" applyAlignment="1">
      <alignment horizontal="center" vertical="center" wrapText="1"/>
    </xf>
    <xf numFmtId="0" fontId="51" fillId="0" borderId="26" xfId="0" applyFont="1" applyBorder="1" applyAlignment="1">
      <alignment horizontal="center" vertical="center" wrapText="1"/>
    </xf>
    <xf numFmtId="0" fontId="51" fillId="0" borderId="68" xfId="0" applyFont="1" applyBorder="1" applyAlignment="1">
      <alignment horizontal="center" vertical="center" wrapText="1"/>
    </xf>
    <xf numFmtId="0" fontId="0" fillId="0" borderId="26" xfId="0" applyFont="1" applyBorder="1"/>
    <xf numFmtId="0" fontId="49" fillId="0" borderId="0" xfId="0" applyFont="1" applyAlignment="1">
      <alignment horizontal="left" vertical="top" wrapText="1"/>
    </xf>
    <xf numFmtId="0" fontId="48" fillId="33" borderId="11" xfId="0" applyFont="1" applyFill="1" applyBorder="1" applyAlignment="1">
      <alignment horizontal="center" vertical="center" wrapText="1"/>
    </xf>
    <xf numFmtId="0" fontId="49" fillId="33" borderId="10" xfId="0" applyFont="1" applyFill="1" applyBorder="1" applyAlignment="1">
      <alignment horizontal="center" vertical="center" wrapText="1"/>
    </xf>
    <xf numFmtId="3" fontId="56" fillId="33" borderId="28" xfId="4" applyNumberFormat="1" applyFont="1" applyFill="1" applyBorder="1" applyAlignment="1">
      <alignment horizontal="center" vertical="center" wrapText="1"/>
    </xf>
    <xf numFmtId="0" fontId="63" fillId="33" borderId="28" xfId="0" applyFont="1" applyFill="1" applyBorder="1" applyAlignment="1">
      <alignment horizontal="center" vertical="center" wrapText="1"/>
    </xf>
    <xf numFmtId="0" fontId="120" fillId="2" borderId="99" xfId="4" applyFont="1" applyFill="1" applyBorder="1" applyAlignment="1">
      <alignment horizontal="center" vertical="center" wrapText="1"/>
    </xf>
    <xf numFmtId="3" fontId="116" fillId="27" borderId="103" xfId="4" applyNumberFormat="1" applyFont="1" applyFill="1" applyBorder="1" applyAlignment="1">
      <alignment horizontal="center" vertical="center"/>
    </xf>
    <xf numFmtId="0" fontId="47" fillId="2" borderId="24" xfId="112" applyFont="1" applyFill="1" applyBorder="1" applyAlignment="1">
      <alignment horizontal="left" vertical="top" wrapText="1"/>
    </xf>
    <xf numFmtId="0" fontId="51" fillId="0" borderId="5" xfId="112" applyFont="1" applyBorder="1" applyAlignment="1">
      <alignment horizontal="center" vertical="center" wrapText="1"/>
    </xf>
    <xf numFmtId="0" fontId="51" fillId="0" borderId="11" xfId="112" applyFont="1" applyBorder="1" applyAlignment="1">
      <alignment horizontal="center" vertical="center" wrapText="1"/>
    </xf>
    <xf numFmtId="0" fontId="51" fillId="0" borderId="25" xfId="112" applyFont="1" applyBorder="1" applyAlignment="1">
      <alignment horizontal="center" vertical="center" wrapText="1"/>
    </xf>
    <xf numFmtId="0" fontId="50" fillId="2" borderId="2" xfId="112" applyFont="1" applyFill="1" applyBorder="1" applyAlignment="1">
      <alignment horizontal="center" vertical="center" wrapText="1"/>
    </xf>
    <xf numFmtId="0" fontId="50" fillId="2" borderId="3" xfId="112" applyFont="1" applyFill="1" applyBorder="1" applyAlignment="1">
      <alignment horizontal="center" vertical="center" wrapText="1"/>
    </xf>
    <xf numFmtId="0" fontId="50" fillId="2" borderId="4" xfId="112" applyFont="1" applyFill="1" applyBorder="1" applyAlignment="1">
      <alignment horizontal="center" vertical="center" wrapText="1"/>
    </xf>
    <xf numFmtId="0" fontId="50" fillId="2" borderId="7" xfId="112" applyFont="1" applyFill="1" applyBorder="1" applyAlignment="1">
      <alignment horizontal="center" vertical="center" wrapText="1"/>
    </xf>
    <xf numFmtId="0" fontId="50" fillId="2" borderId="8" xfId="112" applyFont="1" applyFill="1" applyBorder="1" applyAlignment="1">
      <alignment horizontal="center" vertical="center" wrapText="1"/>
    </xf>
    <xf numFmtId="0" fontId="50" fillId="2" borderId="9" xfId="112" applyFont="1" applyFill="1" applyBorder="1" applyAlignment="1">
      <alignment horizontal="center" vertical="center" wrapText="1"/>
    </xf>
    <xf numFmtId="0" fontId="2" fillId="19" borderId="27" xfId="112" applyFont="1" applyFill="1" applyBorder="1" applyAlignment="1">
      <alignment horizontal="center" vertical="center" wrapText="1"/>
    </xf>
    <xf numFmtId="0" fontId="2" fillId="19" borderId="23" xfId="112" applyFont="1" applyFill="1" applyBorder="1" applyAlignment="1">
      <alignment horizontal="center" vertical="center" wrapText="1"/>
    </xf>
    <xf numFmtId="0" fontId="48" fillId="0" borderId="5" xfId="112" applyFont="1" applyFill="1" applyBorder="1" applyAlignment="1">
      <alignment horizontal="center" vertical="center" wrapText="1"/>
    </xf>
    <xf numFmtId="0" fontId="2" fillId="0" borderId="11" xfId="112" applyFont="1" applyBorder="1" applyAlignment="1">
      <alignment vertical="center" wrapText="1"/>
    </xf>
    <xf numFmtId="0" fontId="2" fillId="0" borderId="25" xfId="112" applyFont="1" applyBorder="1" applyAlignment="1">
      <alignment vertical="center" wrapText="1"/>
    </xf>
    <xf numFmtId="0" fontId="49" fillId="0" borderId="66" xfId="112" applyFont="1" applyFill="1" applyBorder="1" applyAlignment="1">
      <alignment horizontal="center" vertical="center" wrapText="1"/>
    </xf>
    <xf numFmtId="0" fontId="49" fillId="0" borderId="67" xfId="112" applyFont="1" applyFill="1" applyBorder="1" applyAlignment="1">
      <alignment horizontal="center" vertical="center" wrapText="1"/>
    </xf>
    <xf numFmtId="0" fontId="2" fillId="0" borderId="67" xfId="112" applyFont="1" applyBorder="1" applyAlignment="1">
      <alignment horizontal="center" vertical="center" wrapText="1"/>
    </xf>
    <xf numFmtId="0" fontId="2" fillId="0" borderId="69" xfId="112" applyFont="1" applyBorder="1" applyAlignment="1">
      <alignment horizontal="center" vertical="center" wrapText="1"/>
    </xf>
    <xf numFmtId="0" fontId="63" fillId="0" borderId="6" xfId="112" applyFont="1" applyBorder="1" applyAlignment="1">
      <alignment horizontal="center" vertical="center" wrapText="1"/>
    </xf>
    <xf numFmtId="0" fontId="63" fillId="0" borderId="22" xfId="112" applyFont="1" applyBorder="1" applyAlignment="1">
      <alignment horizontal="center" vertical="center" wrapText="1"/>
    </xf>
    <xf numFmtId="0" fontId="49" fillId="0" borderId="42" xfId="112" applyFont="1" applyFill="1" applyBorder="1" applyAlignment="1">
      <alignment horizontal="center" vertical="center" wrapText="1"/>
    </xf>
    <xf numFmtId="0" fontId="49" fillId="0" borderId="43" xfId="112" applyFont="1" applyFill="1" applyBorder="1" applyAlignment="1">
      <alignment horizontal="center" vertical="center" wrapText="1"/>
    </xf>
    <xf numFmtId="0" fontId="2" fillId="0" borderId="43" xfId="112" applyFont="1" applyBorder="1" applyAlignment="1">
      <alignment horizontal="center" vertical="center" wrapText="1"/>
    </xf>
    <xf numFmtId="0" fontId="154" fillId="0" borderId="42" xfId="0" applyFont="1" applyFill="1" applyBorder="1" applyAlignment="1">
      <alignment horizontal="center" vertical="center" wrapText="1"/>
    </xf>
    <xf numFmtId="0" fontId="154" fillId="0" borderId="43" xfId="0" applyFont="1" applyFill="1" applyBorder="1" applyAlignment="1">
      <alignment horizontal="center" vertical="center" wrapText="1"/>
    </xf>
    <xf numFmtId="0" fontId="155" fillId="0" borderId="41" xfId="0" applyFont="1" applyBorder="1"/>
    <xf numFmtId="0" fontId="120" fillId="0" borderId="73" xfId="0" applyFont="1" applyFill="1" applyBorder="1" applyAlignment="1">
      <alignment horizontal="center" vertical="center" wrapText="1"/>
    </xf>
    <xf numFmtId="3" fontId="120" fillId="29" borderId="42" xfId="0" applyNumberFormat="1" applyFont="1" applyFill="1" applyBorder="1" applyAlignment="1">
      <alignment horizontal="center" vertical="center" wrapText="1"/>
    </xf>
    <xf numFmtId="3" fontId="120" fillId="29" borderId="43" xfId="0" applyNumberFormat="1" applyFont="1" applyFill="1" applyBorder="1" applyAlignment="1">
      <alignment horizontal="center" vertical="center" wrapText="1"/>
    </xf>
    <xf numFmtId="3" fontId="120" fillId="29" borderId="41" xfId="0" applyNumberFormat="1" applyFont="1" applyFill="1" applyBorder="1" applyAlignment="1">
      <alignment horizontal="center" vertical="center" wrapText="1"/>
    </xf>
    <xf numFmtId="0" fontId="120" fillId="8" borderId="73" xfId="0" applyFont="1" applyFill="1" applyBorder="1" applyAlignment="1">
      <alignment horizontal="center" vertical="center" wrapText="1"/>
    </xf>
    <xf numFmtId="0" fontId="120" fillId="8" borderId="6" xfId="0" applyFont="1" applyFill="1" applyBorder="1" applyAlignment="1">
      <alignment horizontal="center" vertical="center" wrapText="1"/>
    </xf>
    <xf numFmtId="0" fontId="129" fillId="0" borderId="0" xfId="0" applyFont="1"/>
    <xf numFmtId="0" fontId="145" fillId="39" borderId="89" xfId="4" applyFont="1" applyFill="1" applyBorder="1" applyAlignment="1">
      <alignment horizontal="left" vertical="center" wrapText="1"/>
    </xf>
    <xf numFmtId="0" fontId="129" fillId="39" borderId="50" xfId="0" applyFont="1" applyFill="1" applyBorder="1" applyAlignment="1">
      <alignment vertical="center" wrapText="1"/>
    </xf>
    <xf numFmtId="0" fontId="145" fillId="6" borderId="89" xfId="4" applyFont="1" applyFill="1" applyBorder="1" applyAlignment="1">
      <alignment horizontal="left" vertical="center" wrapText="1"/>
    </xf>
    <xf numFmtId="0" fontId="129" fillId="6" borderId="50" xfId="0" applyFont="1" applyFill="1" applyBorder="1" applyAlignment="1">
      <alignment vertical="center" wrapText="1"/>
    </xf>
    <xf numFmtId="0" fontId="145" fillId="6" borderId="89" xfId="4" applyFont="1" applyFill="1" applyBorder="1" applyAlignment="1">
      <alignment horizontal="left" vertical="center"/>
    </xf>
    <xf numFmtId="0" fontId="129" fillId="6" borderId="50" xfId="0" applyFont="1" applyFill="1" applyBorder="1" applyAlignment="1">
      <alignment vertical="center"/>
    </xf>
    <xf numFmtId="0" fontId="147" fillId="39" borderId="89" xfId="0" applyFont="1" applyFill="1" applyBorder="1" applyAlignment="1">
      <alignment horizontal="left" vertical="center"/>
    </xf>
    <xf numFmtId="0" fontId="147" fillId="39" borderId="50" xfId="0" applyFont="1" applyFill="1" applyBorder="1" applyAlignment="1">
      <alignment horizontal="left" vertical="center"/>
    </xf>
    <xf numFmtId="0" fontId="145" fillId="39" borderId="68" xfId="4" applyFont="1" applyFill="1" applyBorder="1" applyAlignment="1">
      <alignment horizontal="left" vertical="center" wrapText="1"/>
    </xf>
    <xf numFmtId="0" fontId="129" fillId="39" borderId="23" xfId="0" applyFont="1" applyFill="1" applyBorder="1" applyAlignment="1">
      <alignment vertical="center" wrapText="1"/>
    </xf>
    <xf numFmtId="0" fontId="144" fillId="0" borderId="1" xfId="4" applyFont="1" applyFill="1" applyBorder="1" applyAlignment="1">
      <alignment horizontal="center" vertical="center" wrapText="1"/>
    </xf>
    <xf numFmtId="0" fontId="144" fillId="0" borderId="4" xfId="4" applyFont="1" applyFill="1" applyBorder="1" applyAlignment="1">
      <alignment horizontal="center" vertical="center" wrapText="1"/>
    </xf>
    <xf numFmtId="0" fontId="146" fillId="4" borderId="85" xfId="4" applyFont="1" applyFill="1" applyBorder="1" applyAlignment="1">
      <alignment horizontal="left" vertical="center"/>
    </xf>
    <xf numFmtId="0" fontId="134" fillId="4" borderId="9" xfId="0" applyFont="1" applyFill="1" applyBorder="1" applyAlignment="1">
      <alignment vertical="center"/>
    </xf>
    <xf numFmtId="0" fontId="146" fillId="6" borderId="84" xfId="4" applyFont="1" applyFill="1" applyBorder="1" applyAlignment="1">
      <alignment horizontal="left" vertical="center"/>
    </xf>
    <xf numFmtId="0" fontId="134" fillId="6" borderId="29" xfId="0" applyFont="1" applyFill="1" applyBorder="1" applyAlignment="1">
      <alignment vertical="center"/>
    </xf>
    <xf numFmtId="0" fontId="146" fillId="4" borderId="84" xfId="4" applyFont="1" applyFill="1" applyBorder="1" applyAlignment="1">
      <alignment horizontal="left" vertical="center"/>
    </xf>
    <xf numFmtId="0" fontId="134" fillId="4" borderId="29" xfId="0" applyFont="1" applyFill="1" applyBorder="1" applyAlignment="1">
      <alignment vertical="center"/>
    </xf>
    <xf numFmtId="0" fontId="145" fillId="39" borderId="89" xfId="4" applyFont="1" applyFill="1" applyBorder="1" applyAlignment="1">
      <alignment horizontal="left" vertical="center"/>
    </xf>
    <xf numFmtId="0" fontId="129" fillId="39" borderId="50" xfId="0" applyFont="1" applyFill="1" applyBorder="1" applyAlignment="1">
      <alignment vertical="center"/>
    </xf>
    <xf numFmtId="0" fontId="75" fillId="2" borderId="0" xfId="0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2" borderId="1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27" xfId="0" applyFont="1" applyFill="1" applyBorder="1" applyAlignment="1">
      <alignment horizontal="center" vertical="center"/>
    </xf>
    <xf numFmtId="0" fontId="13" fillId="2" borderId="68" xfId="0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7" fillId="0" borderId="68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68" fillId="0" borderId="2" xfId="0" applyFont="1" applyBorder="1" applyAlignment="1">
      <alignment horizontal="center" vertical="center" wrapText="1"/>
    </xf>
    <xf numFmtId="0" fontId="68" fillId="0" borderId="3" xfId="0" applyFont="1" applyBorder="1" applyAlignment="1">
      <alignment horizontal="center" vertical="center" wrapText="1"/>
    </xf>
    <xf numFmtId="0" fontId="68" fillId="0" borderId="7" xfId="0" applyFont="1" applyBorder="1" applyAlignment="1">
      <alignment horizontal="center" vertical="center" wrapText="1"/>
    </xf>
    <xf numFmtId="0" fontId="68" fillId="0" borderId="8" xfId="0" applyFont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</cellXfs>
  <cellStyles count="152">
    <cellStyle name="Dziesiętny" xfId="1" builtinId="3"/>
    <cellStyle name="Dziesiętny 2" xfId="7"/>
    <cellStyle name="Dziesiętny 3" xfId="8"/>
    <cellStyle name="Dziesiętny 3 2" xfId="9"/>
    <cellStyle name="Dziesiętny 4" xfId="10"/>
    <cellStyle name="Dziesiętny 4 2" xfId="11"/>
    <cellStyle name="Hiperłącze 2" xfId="12"/>
    <cellStyle name="Normalny" xfId="0" builtinId="0"/>
    <cellStyle name="Normalny 2" xfId="5"/>
    <cellStyle name="Normalny 2 2" xfId="13"/>
    <cellStyle name="Normalny 2 2 2" xfId="14"/>
    <cellStyle name="Normalny 2 2 2 2" xfId="15"/>
    <cellStyle name="Normalny 2 3" xfId="16"/>
    <cellStyle name="Normalny 2 4" xfId="17"/>
    <cellStyle name="Normalny 3" xfId="18"/>
    <cellStyle name="Normalny 3 2" xfId="19"/>
    <cellStyle name="Normalny 3 3" xfId="115"/>
    <cellStyle name="Normalny 4" xfId="20"/>
    <cellStyle name="Normalny 5" xfId="21"/>
    <cellStyle name="Normalny 6" xfId="22"/>
    <cellStyle name="Normalny 7" xfId="112"/>
    <cellStyle name="Normalny_INFO dot  spłaty poręczonych kredytów spzoz wg stanu na 12 07 2010" xfId="3"/>
    <cellStyle name="Normalny_INFO dot  spłaty poręczonych kredytów spzoz wg stanu na 12 07 2010 2" xfId="113"/>
    <cellStyle name="Normalny_Kopia WPI_zest_u_marszal_05_09_06_nowe" xfId="4"/>
    <cellStyle name="Normalny_WPI Drogi i Transport 2007-2010_DIN" xfId="6"/>
    <cellStyle name="Normalny_WPI Drogi i Transport 2007-2010_DIN 2" xfId="114"/>
    <cellStyle name="Procentowy" xfId="2" builtinId="5"/>
    <cellStyle name="Procentowy 2" xfId="23"/>
    <cellStyle name="Procentowy 3" xfId="24"/>
    <cellStyle name="Procentowy 3 2" xfId="25"/>
    <cellStyle name="Procentowy 4" xfId="26"/>
    <cellStyle name="Procentowy 4 2" xfId="27"/>
    <cellStyle name="S0" xfId="28"/>
    <cellStyle name="S1" xfId="29"/>
    <cellStyle name="S10" xfId="30"/>
    <cellStyle name="S11" xfId="31"/>
    <cellStyle name="S12" xfId="32"/>
    <cellStyle name="S13" xfId="33"/>
    <cellStyle name="S14" xfId="34"/>
    <cellStyle name="S15" xfId="35"/>
    <cellStyle name="S16" xfId="36"/>
    <cellStyle name="S17" xfId="37"/>
    <cellStyle name="S18" xfId="38"/>
    <cellStyle name="S19" xfId="39"/>
    <cellStyle name="S2" xfId="40"/>
    <cellStyle name="S20" xfId="41"/>
    <cellStyle name="S21" xfId="42"/>
    <cellStyle name="S22" xfId="43"/>
    <cellStyle name="S23" xfId="44"/>
    <cellStyle name="S24" xfId="45"/>
    <cellStyle name="S25" xfId="46"/>
    <cellStyle name="S26" xfId="47"/>
    <cellStyle name="S27" xfId="48"/>
    <cellStyle name="S28" xfId="49"/>
    <cellStyle name="S29" xfId="50"/>
    <cellStyle name="S3" xfId="51"/>
    <cellStyle name="S30" xfId="52"/>
    <cellStyle name="S31" xfId="53"/>
    <cellStyle name="S32" xfId="54"/>
    <cellStyle name="S33" xfId="55"/>
    <cellStyle name="S34" xfId="56"/>
    <cellStyle name="S35" xfId="57"/>
    <cellStyle name="S36" xfId="58"/>
    <cellStyle name="S37" xfId="59"/>
    <cellStyle name="S38" xfId="60"/>
    <cellStyle name="S39" xfId="61"/>
    <cellStyle name="S4" xfId="62"/>
    <cellStyle name="S40" xfId="63"/>
    <cellStyle name="S41" xfId="64"/>
    <cellStyle name="S42" xfId="65"/>
    <cellStyle name="S43" xfId="66"/>
    <cellStyle name="S44" xfId="67"/>
    <cellStyle name="S5" xfId="68"/>
    <cellStyle name="S6" xfId="69"/>
    <cellStyle name="S7" xfId="70"/>
    <cellStyle name="S8" xfId="71"/>
    <cellStyle name="S9" xfId="72"/>
    <cellStyle name="SAPBEXaggData" xfId="73"/>
    <cellStyle name="SAPBEXaggData 2" xfId="116"/>
    <cellStyle name="SAPBEXaggDataEmph" xfId="74"/>
    <cellStyle name="SAPBEXaggDataEmph 2" xfId="117"/>
    <cellStyle name="SAPBEXaggItem" xfId="75"/>
    <cellStyle name="SAPBEXaggItem 2" xfId="118"/>
    <cellStyle name="SAPBEXaggItemX" xfId="76"/>
    <cellStyle name="SAPBEXaggItemX 2" xfId="119"/>
    <cellStyle name="SAPBEXchaText" xfId="77"/>
    <cellStyle name="SAPBEXchaText 2" xfId="120"/>
    <cellStyle name="SAPBEXexcBad7" xfId="78"/>
    <cellStyle name="SAPBEXexcBad7 2" xfId="121"/>
    <cellStyle name="SAPBEXexcBad8" xfId="79"/>
    <cellStyle name="SAPBEXexcBad8 2" xfId="122"/>
    <cellStyle name="SAPBEXexcBad9" xfId="80"/>
    <cellStyle name="SAPBEXexcBad9 2" xfId="123"/>
    <cellStyle name="SAPBEXexcCritical4" xfId="81"/>
    <cellStyle name="SAPBEXexcCritical4 2" xfId="124"/>
    <cellStyle name="SAPBEXexcCritical5" xfId="82"/>
    <cellStyle name="SAPBEXexcCritical5 2" xfId="125"/>
    <cellStyle name="SAPBEXexcCritical6" xfId="83"/>
    <cellStyle name="SAPBEXexcCritical6 2" xfId="126"/>
    <cellStyle name="SAPBEXexcGood1" xfId="84"/>
    <cellStyle name="SAPBEXexcGood1 2" xfId="127"/>
    <cellStyle name="SAPBEXexcGood2" xfId="85"/>
    <cellStyle name="SAPBEXexcGood2 2" xfId="128"/>
    <cellStyle name="SAPBEXexcGood3" xfId="86"/>
    <cellStyle name="SAPBEXexcGood3 2" xfId="129"/>
    <cellStyle name="SAPBEXfilterDrill" xfId="87"/>
    <cellStyle name="SAPBEXfilterDrill 2" xfId="130"/>
    <cellStyle name="SAPBEXfilterItem" xfId="88"/>
    <cellStyle name="SAPBEXfilterItem 2" xfId="131"/>
    <cellStyle name="SAPBEXfilterText" xfId="89"/>
    <cellStyle name="SAPBEXformats" xfId="90"/>
    <cellStyle name="SAPBEXformats 2" xfId="132"/>
    <cellStyle name="SAPBEXheaderItem" xfId="91"/>
    <cellStyle name="SAPBEXheaderItem 2" xfId="133"/>
    <cellStyle name="SAPBEXheaderText" xfId="92"/>
    <cellStyle name="SAPBEXheaderText 2" xfId="134"/>
    <cellStyle name="SAPBEXHLevel0" xfId="93"/>
    <cellStyle name="SAPBEXHLevel0 2" xfId="135"/>
    <cellStyle name="SAPBEXHLevel0X" xfId="94"/>
    <cellStyle name="SAPBEXHLevel0X 2" xfId="136"/>
    <cellStyle name="SAPBEXHLevel1" xfId="95"/>
    <cellStyle name="SAPBEXHLevel1 2" xfId="137"/>
    <cellStyle name="SAPBEXHLevel1X" xfId="96"/>
    <cellStyle name="SAPBEXHLevel1X 2" xfId="138"/>
    <cellStyle name="SAPBEXHLevel2" xfId="97"/>
    <cellStyle name="SAPBEXHLevel2 2" xfId="139"/>
    <cellStyle name="SAPBEXHLevel2X" xfId="98"/>
    <cellStyle name="SAPBEXHLevel2X 2" xfId="140"/>
    <cellStyle name="SAPBEXHLevel3" xfId="99"/>
    <cellStyle name="SAPBEXHLevel3 2" xfId="141"/>
    <cellStyle name="SAPBEXHLevel3X" xfId="100"/>
    <cellStyle name="SAPBEXHLevel3X 2" xfId="142"/>
    <cellStyle name="SAPBEXresData" xfId="101"/>
    <cellStyle name="SAPBEXresData 2" xfId="143"/>
    <cellStyle name="SAPBEXresDataEmph" xfId="102"/>
    <cellStyle name="SAPBEXresDataEmph 2" xfId="144"/>
    <cellStyle name="SAPBEXresItem" xfId="103"/>
    <cellStyle name="SAPBEXresItem 2" xfId="145"/>
    <cellStyle name="SAPBEXresItemX" xfId="104"/>
    <cellStyle name="SAPBEXresItemX 2" xfId="146"/>
    <cellStyle name="SAPBEXstdData" xfId="105"/>
    <cellStyle name="SAPBEXstdData 2" xfId="147"/>
    <cellStyle name="SAPBEXstdDataEmph" xfId="106"/>
    <cellStyle name="SAPBEXstdDataEmph 2" xfId="148"/>
    <cellStyle name="SAPBEXstdItem" xfId="107"/>
    <cellStyle name="SAPBEXstdItem 2" xfId="149"/>
    <cellStyle name="SAPBEXstdItemX" xfId="108"/>
    <cellStyle name="SAPBEXstdItemX 2" xfId="150"/>
    <cellStyle name="SAPBEXtitle" xfId="109"/>
    <cellStyle name="SAPBEXundefined" xfId="110"/>
    <cellStyle name="SAPBEXundefined 2" xfId="151"/>
    <cellStyle name="Walutowy 2" xfId="111"/>
  </cellStyles>
  <dxfs count="0"/>
  <tableStyles count="0" defaultTableStyle="TableStyleMedium2" defaultPivotStyle="PivotStyleLight16"/>
  <colors>
    <mruColors>
      <color rgb="FF0000FF"/>
      <color rgb="FF006600"/>
      <color rgb="FF00FF00"/>
      <color rgb="FF0000CC"/>
      <color rgb="FF99CCFF"/>
      <color rgb="FFCC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0</xdr:colOff>
      <xdr:row>52</xdr:row>
      <xdr:rowOff>0</xdr:rowOff>
    </xdr:from>
    <xdr:to>
      <xdr:col>28</xdr:col>
      <xdr:colOff>0</xdr:colOff>
      <xdr:row>52</xdr:row>
      <xdr:rowOff>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 rot="4832260">
          <a:off x="16478250" y="9829800"/>
          <a:ext cx="0" cy="0"/>
        </a:xfrm>
        <a:prstGeom prst="curvedUpArrow">
          <a:avLst>
            <a:gd name="adj1" fmla="val -2147483648"/>
            <a:gd name="adj2" fmla="val -2147483648"/>
            <a:gd name="adj3" fmla="val -2147483648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6/projekt/Projekt%20na%2015%20listopada/WPF_projekt%2015-11/wrzesie&#324;_kredyt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zet\Bud&#380;et%202013\uchwa&#322;y\sejmik\marzec\marzec_przedsiewziecia_pop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uchwaly/sejmik/czerwiec/czerwiec_WPF_Tabele%206_przedsi&#281;wzieci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udzet/Bud&#380;et%202015/Projekt/Autopoprawka_II%20po%20komisjach%20SWZ/stycze&#324;_Tabele%206_projekt%20zmian%20WP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"/>
      <sheetName val="zdunowo 2011"/>
      <sheetName val="2006"/>
      <sheetName val="Zobow"/>
      <sheetName val="2008"/>
      <sheetName val="2009 EBI"/>
      <sheetName val="2010 EBI - 33 mln zł"/>
      <sheetName val="2010 EBI - 73 mln"/>
      <sheetName val="2010 EBI UE"/>
      <sheetName val="2011 EBI -IV"/>
      <sheetName val="2011 EBI UE - IV"/>
      <sheetName val="2011 EBI -V"/>
      <sheetName val="2011 EBI VI"/>
      <sheetName val="2012 EBI"/>
      <sheetName val="2012 EBI UE"/>
      <sheetName val="2012 UE"/>
      <sheetName val="2012"/>
      <sheetName val="razem kredyty"/>
      <sheetName val="2013 EBI UE"/>
      <sheetName val="2013 EBI"/>
      <sheetName val="2013"/>
      <sheetName val="2014 EBI"/>
      <sheetName val="2014"/>
      <sheetName val="2015- wył"/>
      <sheetName val="2015"/>
      <sheetName val="2016"/>
      <sheetName val="2017"/>
      <sheetName val="2018"/>
      <sheetName val="2019"/>
      <sheetName val="2020"/>
      <sheetName val="2021"/>
      <sheetName val="202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6">
          <cell r="C26">
            <v>657131.31313131319</v>
          </cell>
          <cell r="E26">
            <v>364026.53263594862</v>
          </cell>
        </row>
        <row r="31">
          <cell r="E31">
            <v>349423.22948941484</v>
          </cell>
        </row>
        <row r="36">
          <cell r="E36">
            <v>332878.50839352445</v>
          </cell>
        </row>
        <row r="41">
          <cell r="E41">
            <v>317304.49627231242</v>
          </cell>
        </row>
        <row r="46">
          <cell r="E46">
            <v>301730.48415110039</v>
          </cell>
        </row>
        <row r="51">
          <cell r="E51">
            <v>286956.50689912867</v>
          </cell>
        </row>
        <row r="56">
          <cell r="E56">
            <v>270582.45990867633</v>
          </cell>
        </row>
        <row r="61">
          <cell r="E61">
            <v>255008.44778746428</v>
          </cell>
        </row>
        <row r="66">
          <cell r="E66">
            <v>239434.43566625222</v>
          </cell>
        </row>
        <row r="71">
          <cell r="E71">
            <v>224489.78430884256</v>
          </cell>
        </row>
        <row r="76">
          <cell r="E76">
            <v>208286.41142382813</v>
          </cell>
        </row>
        <row r="81">
          <cell r="E81">
            <v>192712.39930261602</v>
          </cell>
        </row>
        <row r="86">
          <cell r="E86">
            <v>177138.38718140387</v>
          </cell>
        </row>
        <row r="91">
          <cell r="E91">
            <v>162023.06171855624</v>
          </cell>
        </row>
        <row r="96">
          <cell r="E96">
            <v>145990.36293897961</v>
          </cell>
        </row>
        <row r="101">
          <cell r="E101">
            <v>130416.3508177675</v>
          </cell>
        </row>
        <row r="106">
          <cell r="E106">
            <v>114842.33869655535</v>
          </cell>
        </row>
        <row r="111">
          <cell r="E111">
            <v>99556.339128269741</v>
          </cell>
        </row>
        <row r="116">
          <cell r="E116">
            <v>83694.31445413109</v>
          </cell>
        </row>
        <row r="121">
          <cell r="E121">
            <v>68120.302332918945</v>
          </cell>
        </row>
        <row r="126">
          <cell r="E126">
            <v>52546.290211706815</v>
          </cell>
        </row>
        <row r="131">
          <cell r="E131">
            <v>37089.616537983275</v>
          </cell>
        </row>
        <row r="136">
          <cell r="E136">
            <v>21398.265969282576</v>
          </cell>
        </row>
        <row r="141">
          <cell r="E141">
            <v>5824.253848070276</v>
          </cell>
        </row>
      </sheetData>
      <sheetData sheetId="19">
        <row r="26">
          <cell r="C26">
            <v>554989.89898989897</v>
          </cell>
          <cell r="E26">
            <v>307443.95304275624</v>
          </cell>
        </row>
        <row r="31">
          <cell r="E31">
            <v>295110.51895392267</v>
          </cell>
        </row>
        <row r="36">
          <cell r="E36">
            <v>281137.43183063495</v>
          </cell>
        </row>
        <row r="41">
          <cell r="E41">
            <v>267984.17122457427</v>
          </cell>
        </row>
        <row r="46">
          <cell r="E46">
            <v>254830.91061851365</v>
          </cell>
        </row>
        <row r="51">
          <cell r="E51">
            <v>242353.33120796975</v>
          </cell>
        </row>
        <row r="56">
          <cell r="E56">
            <v>228524.38940639235</v>
          </cell>
        </row>
        <row r="61">
          <cell r="E61">
            <v>215371.12880033167</v>
          </cell>
        </row>
        <row r="66">
          <cell r="E66">
            <v>202217.868194271</v>
          </cell>
        </row>
        <row r="71">
          <cell r="E71">
            <v>189596.143462017</v>
          </cell>
        </row>
        <row r="76">
          <cell r="E76">
            <v>175911.34698214987</v>
          </cell>
        </row>
        <row r="81">
          <cell r="E81">
            <v>162758.08637608931</v>
          </cell>
        </row>
        <row r="86">
          <cell r="E86">
            <v>149604.82577002875</v>
          </cell>
        </row>
        <row r="91">
          <cell r="E91">
            <v>136838.95571606449</v>
          </cell>
        </row>
        <row r="96">
          <cell r="E96">
            <v>123298.30455790763</v>
          </cell>
        </row>
        <row r="101">
          <cell r="E101">
            <v>110145.04395184707</v>
          </cell>
        </row>
        <row r="106">
          <cell r="E106">
            <v>96991.783345786505</v>
          </cell>
        </row>
        <row r="111">
          <cell r="E111">
            <v>84081.767970111949</v>
          </cell>
        </row>
        <row r="116">
          <cell r="E116">
            <v>70685.262133665281</v>
          </cell>
        </row>
        <row r="121">
          <cell r="E121">
            <v>57532.001527604676</v>
          </cell>
        </row>
        <row r="126">
          <cell r="E126">
            <v>44378.740921544071</v>
          </cell>
        </row>
        <row r="131">
          <cell r="E131">
            <v>31324.580224159261</v>
          </cell>
        </row>
        <row r="136">
          <cell r="E136">
            <v>18072.219709422854</v>
          </cell>
        </row>
        <row r="141">
          <cell r="E141">
            <v>4918.9591033622837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ał. nr 2"/>
      <sheetName val="Zał. 2D - Oświata"/>
      <sheetName val="Zał. 2F - Kultura"/>
      <sheetName val="projekty UE"/>
      <sheetName val="Zał. 2A -Drogi"/>
      <sheetName val="Zał. 2B Polit społ i rozwój prz"/>
      <sheetName val="Zał. 2C - Ochrona zdrowia"/>
      <sheetName val="Zał. 2E - Administracja"/>
      <sheetName val="Zał. 2G - Roln i ochrona środ."/>
      <sheetName val="Zał. 2H - Kultura fiz. i turyst"/>
      <sheetName val="Zał.2I - Planow. przestrz."/>
      <sheetName val="wyłączenia"/>
      <sheetName val="Arkusz1"/>
    </sheetNames>
    <sheetDataSet>
      <sheetData sheetId="0">
        <row r="89">
          <cell r="D89">
            <v>2147936</v>
          </cell>
          <cell r="E89">
            <v>16292202.5</v>
          </cell>
          <cell r="F89">
            <v>53088473.030000001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>
        <row r="358">
          <cell r="D358">
            <v>200223536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59">
          <cell r="D59">
            <v>2842867</v>
          </cell>
        </row>
        <row r="73">
          <cell r="D73">
            <v>6000000</v>
          </cell>
        </row>
        <row r="80">
          <cell r="D80">
            <v>683592</v>
          </cell>
        </row>
        <row r="87">
          <cell r="D87">
            <v>967259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a nr 6"/>
      <sheetName val="Tab. 6A -Drogi"/>
      <sheetName val="Tab. 6B Polit społ i rozwój prz"/>
      <sheetName val="Tab. 6C - Ochrona zdrowia"/>
      <sheetName val="Tab. 6D - Oświata"/>
      <sheetName val="Tab. 6E - Administracja"/>
      <sheetName val="Tab. 6F - Kultura"/>
      <sheetName val="Tab. 6G - Roln i ochrona środ."/>
      <sheetName val="Tab. 6H - Kultura fiz. i turyst"/>
      <sheetName val="Tab.6I - Planow. przestrz."/>
      <sheetName val="projekty UE"/>
      <sheetName val="wyłączenia (2)"/>
      <sheetName val="wyłączenia - nowe"/>
    </sheetNames>
    <sheetDataSet>
      <sheetData sheetId="0"/>
      <sheetData sheetId="1"/>
      <sheetData sheetId="2"/>
      <sheetData sheetId="3">
        <row r="10">
          <cell r="D10">
            <v>110219621</v>
          </cell>
        </row>
      </sheetData>
      <sheetData sheetId="4"/>
      <sheetData sheetId="5"/>
      <sheetData sheetId="6"/>
      <sheetData sheetId="7"/>
      <sheetData sheetId="8">
        <row r="102">
          <cell r="D102">
            <v>8776000</v>
          </cell>
        </row>
      </sheetData>
      <sheetData sheetId="9">
        <row r="10">
          <cell r="E10">
            <v>0</v>
          </cell>
        </row>
        <row r="26">
          <cell r="F26">
            <v>0</v>
          </cell>
          <cell r="G26">
            <v>0</v>
          </cell>
          <cell r="H26">
            <v>0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P67"/>
  <sheetViews>
    <sheetView view="pageBreakPreview" zoomScaleNormal="100" zoomScaleSheetLayoutView="100" workbookViewId="0">
      <selection activeCell="I10" sqref="I10"/>
    </sheetView>
  </sheetViews>
  <sheetFormatPr defaultColWidth="9.140625" defaultRowHeight="12.75"/>
  <cols>
    <col min="1" max="1" width="3.42578125" style="328" customWidth="1"/>
    <col min="2" max="2" width="55.42578125" style="328" customWidth="1"/>
    <col min="3" max="3" width="30.28515625" style="328" customWidth="1"/>
    <col min="4" max="4" width="9" style="328" customWidth="1"/>
    <col min="5" max="5" width="9.42578125" style="328" customWidth="1"/>
    <col min="6" max="6" width="12.140625" style="328" customWidth="1"/>
    <col min="7" max="7" width="9.42578125" style="328" customWidth="1"/>
    <col min="8" max="8" width="13.42578125" style="328" customWidth="1"/>
    <col min="9" max="9" width="10.5703125" style="328" customWidth="1"/>
    <col min="10" max="10" width="10.140625" style="328" customWidth="1"/>
    <col min="11" max="11" width="11.5703125" style="328" bestFit="1" customWidth="1"/>
    <col min="12" max="12" width="11.28515625" style="328" customWidth="1"/>
    <col min="13" max="14" width="7.140625" style="328" bestFit="1" customWidth="1"/>
    <col min="15" max="15" width="13.140625" style="328" customWidth="1"/>
    <col min="16" max="16" width="19.85546875" style="328" customWidth="1"/>
    <col min="17" max="18" width="1.42578125" style="328" customWidth="1"/>
    <col min="19" max="19" width="9.7109375" style="328" bestFit="1" customWidth="1"/>
    <col min="20" max="16384" width="9.140625" style="328"/>
  </cols>
  <sheetData>
    <row r="1" spans="1:16" ht="47.25" customHeight="1">
      <c r="A1" s="3917" t="s">
        <v>306</v>
      </c>
      <c r="B1" s="3918"/>
      <c r="C1" s="3918"/>
      <c r="D1" s="3918"/>
      <c r="E1" s="3918"/>
      <c r="F1" s="3918"/>
      <c r="G1" s="3918"/>
      <c r="H1" s="3918"/>
      <c r="I1" s="3918"/>
      <c r="J1" s="3918"/>
      <c r="K1" s="3918"/>
      <c r="L1" s="3918"/>
      <c r="M1" s="3918"/>
      <c r="N1" s="3918"/>
      <c r="O1" s="3918"/>
    </row>
    <row r="2" spans="1:16" ht="7.5" customHeight="1">
      <c r="O2" s="963"/>
      <c r="P2" s="963"/>
    </row>
    <row r="3" spans="1:16" s="856" customFormat="1" ht="27" customHeight="1" thickBot="1">
      <c r="A3" s="941" t="s">
        <v>304</v>
      </c>
      <c r="B3" s="664"/>
      <c r="C3" s="664"/>
      <c r="D3" s="664"/>
      <c r="E3" s="664"/>
      <c r="F3" s="664"/>
      <c r="G3" s="664"/>
      <c r="H3" s="664"/>
      <c r="I3" s="664"/>
      <c r="J3" s="664"/>
      <c r="K3" s="664"/>
      <c r="L3" s="664"/>
      <c r="M3" s="664"/>
      <c r="N3" s="664"/>
      <c r="O3" s="942"/>
      <c r="P3" s="942"/>
    </row>
    <row r="4" spans="1:16" ht="17.25" customHeight="1">
      <c r="A4" s="3919" t="s">
        <v>90</v>
      </c>
      <c r="B4" s="3922" t="s">
        <v>91</v>
      </c>
      <c r="C4" s="3925" t="s">
        <v>307</v>
      </c>
      <c r="D4" s="3928" t="s">
        <v>87</v>
      </c>
      <c r="E4" s="3931" t="s">
        <v>308</v>
      </c>
      <c r="F4" s="3931" t="s">
        <v>309</v>
      </c>
      <c r="G4" s="3934" t="s">
        <v>305</v>
      </c>
      <c r="H4" s="3937" t="s">
        <v>310</v>
      </c>
      <c r="I4" s="3940" t="s">
        <v>311</v>
      </c>
      <c r="J4" s="3943" t="s">
        <v>420</v>
      </c>
      <c r="K4" s="3946" t="s">
        <v>312</v>
      </c>
      <c r="L4" s="3947"/>
      <c r="M4" s="3947"/>
      <c r="N4" s="3948"/>
      <c r="O4" s="3911" t="s">
        <v>89</v>
      </c>
      <c r="P4" s="3911" t="s">
        <v>313</v>
      </c>
    </row>
    <row r="5" spans="1:16" ht="28.5" customHeight="1">
      <c r="A5" s="3920"/>
      <c r="B5" s="3923"/>
      <c r="C5" s="3926"/>
      <c r="D5" s="3929"/>
      <c r="E5" s="3932"/>
      <c r="F5" s="3932"/>
      <c r="G5" s="3935"/>
      <c r="H5" s="3938"/>
      <c r="I5" s="3941"/>
      <c r="J5" s="3944"/>
      <c r="K5" s="3949"/>
      <c r="L5" s="3950"/>
      <c r="M5" s="3950"/>
      <c r="N5" s="3951"/>
      <c r="O5" s="3912"/>
      <c r="P5" s="3912"/>
    </row>
    <row r="6" spans="1:16" ht="28.5" customHeight="1" thickBot="1">
      <c r="A6" s="3920"/>
      <c r="B6" s="3923"/>
      <c r="C6" s="3926"/>
      <c r="D6" s="3929"/>
      <c r="E6" s="3932"/>
      <c r="F6" s="3932"/>
      <c r="G6" s="3935"/>
      <c r="H6" s="3938"/>
      <c r="I6" s="3941"/>
      <c r="J6" s="3944"/>
      <c r="K6" s="3952"/>
      <c r="L6" s="3953"/>
      <c r="M6" s="3953"/>
      <c r="N6" s="3954"/>
      <c r="O6" s="3912"/>
      <c r="P6" s="3912"/>
    </row>
    <row r="7" spans="1:16" ht="36" customHeight="1" thickBot="1">
      <c r="A7" s="3921"/>
      <c r="B7" s="3924"/>
      <c r="C7" s="3927"/>
      <c r="D7" s="3930"/>
      <c r="E7" s="3933"/>
      <c r="F7" s="3933"/>
      <c r="G7" s="3936"/>
      <c r="H7" s="3939"/>
      <c r="I7" s="3942"/>
      <c r="J7" s="3945"/>
      <c r="K7" s="943">
        <v>2015</v>
      </c>
      <c r="L7" s="943">
        <v>2016</v>
      </c>
      <c r="M7" s="944">
        <v>2017</v>
      </c>
      <c r="N7" s="945">
        <v>2018</v>
      </c>
      <c r="O7" s="3913"/>
      <c r="P7" s="3913"/>
    </row>
    <row r="8" spans="1:16" ht="13.5" customHeight="1" thickBot="1">
      <c r="A8" s="722">
        <v>1</v>
      </c>
      <c r="B8" s="723">
        <v>2</v>
      </c>
      <c r="C8" s="964">
        <v>3</v>
      </c>
      <c r="D8" s="724">
        <v>4</v>
      </c>
      <c r="E8" s="724">
        <v>5</v>
      </c>
      <c r="F8" s="724">
        <v>6</v>
      </c>
      <c r="G8" s="724">
        <v>7</v>
      </c>
      <c r="H8" s="724">
        <v>8</v>
      </c>
      <c r="I8" s="724">
        <v>9</v>
      </c>
      <c r="J8" s="724">
        <v>10</v>
      </c>
      <c r="K8" s="724">
        <v>11</v>
      </c>
      <c r="L8" s="724">
        <v>12</v>
      </c>
      <c r="M8" s="725">
        <v>13</v>
      </c>
      <c r="N8" s="725">
        <v>14</v>
      </c>
      <c r="O8" s="726">
        <v>16</v>
      </c>
      <c r="P8" s="726"/>
    </row>
    <row r="9" spans="1:16" ht="46.5" customHeight="1" thickBot="1">
      <c r="A9" s="965" t="s">
        <v>97</v>
      </c>
      <c r="B9" s="1386" t="s">
        <v>423</v>
      </c>
      <c r="C9" s="1387">
        <v>0</v>
      </c>
      <c r="D9" s="1388">
        <v>0</v>
      </c>
      <c r="E9" s="1388">
        <v>0</v>
      </c>
      <c r="F9" s="1389">
        <f>+F10+F14+F18+F22</f>
        <v>9844000</v>
      </c>
      <c r="G9" s="1388">
        <v>0</v>
      </c>
      <c r="H9" s="1389">
        <f>H12+H16+H20+H24+H28</f>
        <v>15633796</v>
      </c>
      <c r="I9" s="1389">
        <f>I12+I16+I20+I24+I28</f>
        <v>7891161</v>
      </c>
      <c r="J9" s="1389">
        <f t="shared" ref="J9:N9" si="0">J12+J16+J20+J24+J28</f>
        <v>5097863</v>
      </c>
      <c r="K9" s="1389">
        <f t="shared" si="0"/>
        <v>2376311</v>
      </c>
      <c r="L9" s="1389">
        <f t="shared" si="0"/>
        <v>268461</v>
      </c>
      <c r="M9" s="1389">
        <f t="shared" si="0"/>
        <v>0</v>
      </c>
      <c r="N9" s="1389">
        <f t="shared" si="0"/>
        <v>0</v>
      </c>
      <c r="O9" s="1390"/>
      <c r="P9" s="946"/>
    </row>
    <row r="10" spans="1:16" ht="62.25" customHeight="1" thickBot="1">
      <c r="A10" s="966" t="s">
        <v>79</v>
      </c>
      <c r="B10" s="1336" t="s">
        <v>314</v>
      </c>
      <c r="C10" s="1337" t="s">
        <v>421</v>
      </c>
      <c r="D10" s="1338" t="s">
        <v>101</v>
      </c>
      <c r="E10" s="1339" t="s">
        <v>315</v>
      </c>
      <c r="F10" s="1340">
        <v>1190000</v>
      </c>
      <c r="G10" s="1341">
        <f>H13/H11%</f>
        <v>92.909940513241835</v>
      </c>
      <c r="H10" s="1342"/>
      <c r="I10" s="1342"/>
      <c r="J10" s="1343"/>
      <c r="K10" s="1344"/>
      <c r="L10" s="1344"/>
      <c r="M10" s="1344"/>
      <c r="N10" s="1343"/>
      <c r="O10" s="3897" t="s">
        <v>419</v>
      </c>
      <c r="P10" s="3914" t="s">
        <v>316</v>
      </c>
    </row>
    <row r="11" spans="1:16" ht="20.25" customHeight="1" thickTop="1">
      <c r="A11" s="967"/>
      <c r="B11" s="1345" t="s">
        <v>317</v>
      </c>
      <c r="C11" s="1346"/>
      <c r="D11" s="1347"/>
      <c r="E11" s="1347"/>
      <c r="F11" s="1347"/>
      <c r="G11" s="1347"/>
      <c r="H11" s="1347">
        <f>I11+J11+K11+L11+M11+N11</f>
        <v>35502523</v>
      </c>
      <c r="I11" s="1348">
        <f>'Tab. 6A -Drogi'!M157</f>
        <v>27933609</v>
      </c>
      <c r="J11" s="1348">
        <f>'Tab. 6A -Drogi'!N157</f>
        <v>7467965</v>
      </c>
      <c r="K11" s="1348">
        <f>'Tab. 6A -Drogi'!O157</f>
        <v>32489</v>
      </c>
      <c r="L11" s="1348">
        <f>'Tab. 6A -Drogi'!P157</f>
        <v>68460</v>
      </c>
      <c r="M11" s="1348">
        <f>'Tab. 6A -Drogi'!Q157</f>
        <v>0</v>
      </c>
      <c r="N11" s="1348">
        <f>'Tab. 6A -Drogi'!R157</f>
        <v>0</v>
      </c>
      <c r="O11" s="3898"/>
      <c r="P11" s="3915"/>
    </row>
    <row r="12" spans="1:16" s="856" customFormat="1" ht="19.5" customHeight="1">
      <c r="A12" s="967"/>
      <c r="B12" s="1349" t="s">
        <v>318</v>
      </c>
      <c r="C12" s="1350"/>
      <c r="D12" s="1351"/>
      <c r="E12" s="1352"/>
      <c r="F12" s="1352"/>
      <c r="G12" s="1352"/>
      <c r="H12" s="1352">
        <f>I12+J12+K12+L12+M12+N12</f>
        <v>2517150</v>
      </c>
      <c r="I12" s="1353">
        <f>'Tab. 6A -Drogi'!M159</f>
        <v>1794138</v>
      </c>
      <c r="J12" s="1353">
        <f>'Tab. 6A -Drogi'!N159</f>
        <v>622063</v>
      </c>
      <c r="K12" s="1353">
        <f>'Tab. 6A -Drogi'!O159</f>
        <v>32489</v>
      </c>
      <c r="L12" s="1353">
        <f>'Tab. 6A -Drogi'!P159</f>
        <v>68460</v>
      </c>
      <c r="M12" s="1353">
        <f>'Tab. 6A -Drogi'!Q159</f>
        <v>0</v>
      </c>
      <c r="N12" s="1353">
        <f>'Tab. 6A -Drogi'!R159</f>
        <v>0</v>
      </c>
      <c r="O12" s="3898"/>
      <c r="P12" s="3915"/>
    </row>
    <row r="13" spans="1:16" ht="13.5" thickBot="1">
      <c r="A13" s="967"/>
      <c r="B13" s="1354" t="s">
        <v>319</v>
      </c>
      <c r="C13" s="1355"/>
      <c r="D13" s="1356"/>
      <c r="E13" s="1357"/>
      <c r="F13" s="1358"/>
      <c r="G13" s="1359"/>
      <c r="H13" s="1360">
        <f>I13+J13+K13+L13+M13+N13</f>
        <v>32985373</v>
      </c>
      <c r="I13" s="1356">
        <f>'Tab. 6A -Drogi'!M161</f>
        <v>26139471</v>
      </c>
      <c r="J13" s="1356">
        <f>'Tab. 6A -Drogi'!N161</f>
        <v>6845902</v>
      </c>
      <c r="K13" s="1356">
        <f>'Tab. 6A -Drogi'!O161</f>
        <v>0</v>
      </c>
      <c r="L13" s="1356">
        <f>'Tab. 6A -Drogi'!P161</f>
        <v>0</v>
      </c>
      <c r="M13" s="1356">
        <f>'Tab. 6A -Drogi'!Q161</f>
        <v>0</v>
      </c>
      <c r="N13" s="1356">
        <f>'Tab. 6A -Drogi'!R161</f>
        <v>0</v>
      </c>
      <c r="O13" s="3899"/>
      <c r="P13" s="3916"/>
    </row>
    <row r="14" spans="1:16" ht="33" customHeight="1" thickBot="1">
      <c r="A14" s="1361" t="s">
        <v>80</v>
      </c>
      <c r="B14" s="1362" t="s">
        <v>108</v>
      </c>
      <c r="C14" s="1337" t="s">
        <v>320</v>
      </c>
      <c r="D14" s="1338" t="s">
        <v>101</v>
      </c>
      <c r="E14" s="1339" t="s">
        <v>315</v>
      </c>
      <c r="F14" s="1340">
        <v>4554000</v>
      </c>
      <c r="G14" s="1341">
        <f>H17/H15%</f>
        <v>85</v>
      </c>
      <c r="H14" s="1342"/>
      <c r="I14" s="1342"/>
      <c r="J14" s="1343"/>
      <c r="K14" s="1344"/>
      <c r="L14" s="1344"/>
      <c r="M14" s="1344"/>
      <c r="N14" s="1343"/>
      <c r="O14" s="3897" t="s">
        <v>419</v>
      </c>
      <c r="P14" s="3903" t="s">
        <v>321</v>
      </c>
    </row>
    <row r="15" spans="1:16" ht="16.5" customHeight="1" thickTop="1">
      <c r="A15" s="1363"/>
      <c r="B15" s="1345" t="s">
        <v>317</v>
      </c>
      <c r="C15" s="1364"/>
      <c r="D15" s="1365"/>
      <c r="E15" s="1365"/>
      <c r="F15" s="1365"/>
      <c r="G15" s="1366"/>
      <c r="H15" s="1347">
        <f>I15+J15+K15+L15+M15+N15</f>
        <v>41435000</v>
      </c>
      <c r="I15" s="1348">
        <f>'Tab. 6A -Drogi'!M288</f>
        <v>5000000</v>
      </c>
      <c r="J15" s="1348">
        <f>'Tab. 6A -Drogi'!N288</f>
        <v>5000000</v>
      </c>
      <c r="K15" s="1348">
        <f>'Tab. 6A -Drogi'!O288</f>
        <v>0</v>
      </c>
      <c r="L15" s="1348">
        <f>'Tab. 6A -Drogi'!P288</f>
        <v>31435000</v>
      </c>
      <c r="M15" s="1348">
        <f>'Tab. 6A -Drogi'!Q288</f>
        <v>0</v>
      </c>
      <c r="N15" s="1348">
        <f>'Tab. 6A -Drogi'!R288</f>
        <v>0</v>
      </c>
      <c r="O15" s="3898"/>
      <c r="P15" s="3904"/>
    </row>
    <row r="16" spans="1:16" ht="21.75" customHeight="1">
      <c r="A16" s="1363"/>
      <c r="B16" s="1349" t="s">
        <v>318</v>
      </c>
      <c r="C16" s="1367"/>
      <c r="D16" s="1368"/>
      <c r="E16" s="1368"/>
      <c r="F16" s="1368"/>
      <c r="G16" s="1369"/>
      <c r="H16" s="1352">
        <f>I16+J16+K16+L16+M16+N16</f>
        <v>1500000</v>
      </c>
      <c r="I16" s="1353">
        <f>'Tab. 6A -Drogi'!M290</f>
        <v>750000</v>
      </c>
      <c r="J16" s="1353">
        <f>'Tab. 6A -Drogi'!N290</f>
        <v>750000</v>
      </c>
      <c r="K16" s="1353">
        <f>'Tab. 6A -Drogi'!O290</f>
        <v>0</v>
      </c>
      <c r="L16" s="1353">
        <f>'Tab. 6A -Drogi'!P290</f>
        <v>0</v>
      </c>
      <c r="M16" s="1353">
        <f>'Tab. 6A -Drogi'!Q290</f>
        <v>0</v>
      </c>
      <c r="N16" s="1353">
        <f>'Tab. 6A -Drogi'!R290</f>
        <v>0</v>
      </c>
      <c r="O16" s="3898"/>
      <c r="P16" s="3904"/>
    </row>
    <row r="17" spans="1:16" ht="13.5" thickBot="1">
      <c r="A17" s="1363"/>
      <c r="B17" s="1354" t="s">
        <v>319</v>
      </c>
      <c r="C17" s="1370"/>
      <c r="D17" s="1371"/>
      <c r="E17" s="1372"/>
      <c r="F17" s="1372"/>
      <c r="G17" s="1373"/>
      <c r="H17" s="1360">
        <f>I17+J17+K17+L17+M17+N17</f>
        <v>35219750</v>
      </c>
      <c r="I17" s="1356">
        <f>'Tab. 6A -Drogi'!M293</f>
        <v>4250000</v>
      </c>
      <c r="J17" s="1356">
        <f>'Tab. 6A -Drogi'!N293</f>
        <v>4250000</v>
      </c>
      <c r="K17" s="1356">
        <f>'Tab. 6A -Drogi'!O293</f>
        <v>0</v>
      </c>
      <c r="L17" s="1356">
        <f>'Tab. 6A -Drogi'!P293</f>
        <v>26719750</v>
      </c>
      <c r="M17" s="1356">
        <f>'Tab. 6A -Drogi'!Q293</f>
        <v>0</v>
      </c>
      <c r="N17" s="1356">
        <f>'Tab. 6A -Drogi'!R293</f>
        <v>0</v>
      </c>
      <c r="O17" s="3899"/>
      <c r="P17" s="3904"/>
    </row>
    <row r="18" spans="1:16" ht="33.75" customHeight="1" thickBot="1">
      <c r="A18" s="1361" t="s">
        <v>81</v>
      </c>
      <c r="B18" s="1362" t="s">
        <v>322</v>
      </c>
      <c r="C18" s="1337" t="s">
        <v>323</v>
      </c>
      <c r="D18" s="1374"/>
      <c r="E18" s="1339" t="s">
        <v>315</v>
      </c>
      <c r="F18" s="1340">
        <v>3100000</v>
      </c>
      <c r="G18" s="1341">
        <f>H21/H19%</f>
        <v>82.742751527475946</v>
      </c>
      <c r="H18" s="1342"/>
      <c r="I18" s="1375"/>
      <c r="J18" s="1343"/>
      <c r="K18" s="1344"/>
      <c r="L18" s="1344"/>
      <c r="M18" s="1344"/>
      <c r="N18" s="1343"/>
      <c r="O18" s="3897" t="s">
        <v>419</v>
      </c>
      <c r="P18" s="3900" t="s">
        <v>324</v>
      </c>
    </row>
    <row r="19" spans="1:16" ht="16.5" customHeight="1" thickTop="1">
      <c r="A19" s="1363"/>
      <c r="B19" s="1345" t="s">
        <v>317</v>
      </c>
      <c r="C19" s="1376"/>
      <c r="D19" s="1365"/>
      <c r="E19" s="1365"/>
      <c r="F19" s="1365"/>
      <c r="G19" s="1366"/>
      <c r="H19" s="1347">
        <f>I19+J19+K19+L19+M19+N19</f>
        <v>49097827</v>
      </c>
      <c r="I19" s="1348">
        <f>'Tab. 6A -Drogi'!M177</f>
        <v>28794965</v>
      </c>
      <c r="J19" s="1348">
        <f>'Tab. 6A -Drogi'!N177</f>
        <v>20217946</v>
      </c>
      <c r="K19" s="1348">
        <f>'Tab. 6A -Drogi'!O177</f>
        <v>14915</v>
      </c>
      <c r="L19" s="1348">
        <f>'Tab. 6A -Drogi'!P177</f>
        <v>70001</v>
      </c>
      <c r="M19" s="1348">
        <f>'Tab. 6A -Drogi'!Q177</f>
        <v>0</v>
      </c>
      <c r="N19" s="1348">
        <f>'Tab. 6A -Drogi'!R177</f>
        <v>0</v>
      </c>
      <c r="O19" s="3898"/>
      <c r="P19" s="3901"/>
    </row>
    <row r="20" spans="1:16" ht="16.5" customHeight="1">
      <c r="A20" s="1363"/>
      <c r="B20" s="1349" t="s">
        <v>318</v>
      </c>
      <c r="C20" s="1377"/>
      <c r="D20" s="1371"/>
      <c r="E20" s="1371"/>
      <c r="F20" s="1371"/>
      <c r="G20" s="1369"/>
      <c r="H20" s="1352">
        <f>I20+J20+K20+L20+M20+N20</f>
        <v>6472934</v>
      </c>
      <c r="I20" s="1378">
        <f>'Tab. 6A -Drogi'!M179</f>
        <v>3700661</v>
      </c>
      <c r="J20" s="1378">
        <f>'Tab. 6A -Drogi'!N179</f>
        <v>2687357</v>
      </c>
      <c r="K20" s="1378">
        <f>'Tab. 6A -Drogi'!O179</f>
        <v>14915</v>
      </c>
      <c r="L20" s="1378">
        <f>'Tab. 6A -Drogi'!P179</f>
        <v>70001</v>
      </c>
      <c r="M20" s="1378">
        <f>'Tab. 6A -Drogi'!Q179</f>
        <v>0</v>
      </c>
      <c r="N20" s="1378">
        <f>'Tab. 6A -Drogi'!R179</f>
        <v>0</v>
      </c>
      <c r="O20" s="3898"/>
      <c r="P20" s="3901"/>
    </row>
    <row r="21" spans="1:16" ht="16.5" customHeight="1" thickBot="1">
      <c r="A21" s="1379"/>
      <c r="B21" s="1354" t="s">
        <v>319</v>
      </c>
      <c r="C21" s="1380"/>
      <c r="D21" s="1381"/>
      <c r="E21" s="1382"/>
      <c r="F21" s="1382"/>
      <c r="G21" s="1383"/>
      <c r="H21" s="1384">
        <f>I21+J21+K21+L21+M21+N21</f>
        <v>40624893</v>
      </c>
      <c r="I21" s="1385">
        <f>'Tab. 6A -Drogi'!M182</f>
        <v>24094304</v>
      </c>
      <c r="J21" s="1385">
        <f>'Tab. 6A -Drogi'!N182</f>
        <v>16530589</v>
      </c>
      <c r="K21" s="1385">
        <f>'Tab. 6A -Drogi'!O182</f>
        <v>0</v>
      </c>
      <c r="L21" s="1385">
        <f>'Tab. 6A -Drogi'!P182</f>
        <v>0</v>
      </c>
      <c r="M21" s="1385">
        <f>'Tab. 6A -Drogi'!Q182</f>
        <v>0</v>
      </c>
      <c r="N21" s="1385">
        <f>'Tab. 6A -Drogi'!R182</f>
        <v>0</v>
      </c>
      <c r="O21" s="3899"/>
      <c r="P21" s="3902"/>
    </row>
    <row r="22" spans="1:16" ht="39" customHeight="1" thickBot="1">
      <c r="A22" s="970" t="s">
        <v>82</v>
      </c>
      <c r="B22" s="1362" t="s">
        <v>325</v>
      </c>
      <c r="C22" s="1391" t="s">
        <v>326</v>
      </c>
      <c r="D22" s="1392" t="s">
        <v>101</v>
      </c>
      <c r="E22" s="1393" t="s">
        <v>315</v>
      </c>
      <c r="F22" s="1394">
        <v>1000000</v>
      </c>
      <c r="G22" s="1395">
        <f>H25/H23%</f>
        <v>82.405565752135075</v>
      </c>
      <c r="H22" s="1396"/>
      <c r="I22" s="1396"/>
      <c r="J22" s="1397"/>
      <c r="K22" s="1398"/>
      <c r="L22" s="1398"/>
      <c r="M22" s="1398"/>
      <c r="N22" s="1397"/>
      <c r="O22" s="3897" t="s">
        <v>419</v>
      </c>
      <c r="P22" s="3903" t="s">
        <v>327</v>
      </c>
    </row>
    <row r="23" spans="1:16" ht="16.5" customHeight="1" thickTop="1">
      <c r="A23" s="955"/>
      <c r="B23" s="1345" t="s">
        <v>317</v>
      </c>
      <c r="C23" s="1346"/>
      <c r="D23" s="1347"/>
      <c r="E23" s="1347"/>
      <c r="F23" s="1347"/>
      <c r="G23" s="1399"/>
      <c r="H23" s="1347">
        <f>I23+J23+K23+L23+M23+N23</f>
        <v>14765300</v>
      </c>
      <c r="I23" s="1348">
        <f>'Tab. 6A -Drogi'!M168</f>
        <v>12403753</v>
      </c>
      <c r="J23" s="1348">
        <f>'Tab. 6A -Drogi'!N168</f>
        <v>2281547</v>
      </c>
      <c r="K23" s="1348">
        <f>'Tab. 6A -Drogi'!O168</f>
        <v>0</v>
      </c>
      <c r="L23" s="1348">
        <f>'Tab. 6A -Drogi'!P168</f>
        <v>80000</v>
      </c>
      <c r="M23" s="1348">
        <f>'Tab. 6A -Drogi'!Q168</f>
        <v>0</v>
      </c>
      <c r="N23" s="1348">
        <f>'Tab. 6A -Drogi'!R168</f>
        <v>0</v>
      </c>
      <c r="O23" s="3898"/>
      <c r="P23" s="3904"/>
    </row>
    <row r="24" spans="1:16" s="856" customFormat="1" ht="16.5" customHeight="1">
      <c r="A24" s="955"/>
      <c r="B24" s="1349" t="s">
        <v>318</v>
      </c>
      <c r="C24" s="1367"/>
      <c r="D24" s="1371"/>
      <c r="E24" s="1371"/>
      <c r="F24" s="1371"/>
      <c r="G24" s="1369"/>
      <c r="H24" s="1352">
        <f>I24+J24+K24+L24+M24+N24</f>
        <v>2597871</v>
      </c>
      <c r="I24" s="1353">
        <f>'Tab. 6A -Drogi'!M170</f>
        <v>1534900</v>
      </c>
      <c r="J24" s="1353">
        <f>'Tab. 6A -Drogi'!N170</f>
        <v>982971</v>
      </c>
      <c r="K24" s="1353">
        <f>'Tab. 6A -Drogi'!O170</f>
        <v>0</v>
      </c>
      <c r="L24" s="1353">
        <f>'Tab. 6A -Drogi'!P170</f>
        <v>80000</v>
      </c>
      <c r="M24" s="1353">
        <f>'Tab. 6A -Drogi'!Q170</f>
        <v>0</v>
      </c>
      <c r="N24" s="1353">
        <f>'Tab. 6A -Drogi'!R170</f>
        <v>0</v>
      </c>
      <c r="O24" s="3898"/>
      <c r="P24" s="3904"/>
    </row>
    <row r="25" spans="1:16" ht="13.5" customHeight="1" thickBot="1">
      <c r="A25" s="956"/>
      <c r="B25" s="1400" t="s">
        <v>319</v>
      </c>
      <c r="C25" s="1401"/>
      <c r="D25" s="1381"/>
      <c r="E25" s="1382"/>
      <c r="F25" s="1382"/>
      <c r="G25" s="1383"/>
      <c r="H25" s="1384">
        <f>I25+J25+K25+L25+M25+N25</f>
        <v>12167429</v>
      </c>
      <c r="I25" s="1385">
        <f>'Tab. 6A -Drogi'!M172</f>
        <v>10868853</v>
      </c>
      <c r="J25" s="1385">
        <f>'Tab. 6A -Drogi'!N172</f>
        <v>1298576</v>
      </c>
      <c r="K25" s="1385">
        <f>'Tab. 6A -Drogi'!O172</f>
        <v>0</v>
      </c>
      <c r="L25" s="1385">
        <f>'Tab. 6A -Drogi'!P172</f>
        <v>0</v>
      </c>
      <c r="M25" s="1385">
        <f>'Tab. 6A -Drogi'!Q172</f>
        <v>0</v>
      </c>
      <c r="N25" s="1385">
        <f>'Tab. 6A -Drogi'!R172</f>
        <v>0</v>
      </c>
      <c r="O25" s="3899"/>
      <c r="P25" s="3905"/>
    </row>
    <row r="26" spans="1:16" ht="48" customHeight="1" thickBot="1">
      <c r="A26" s="970" t="s">
        <v>83</v>
      </c>
      <c r="B26" s="1362" t="s">
        <v>114</v>
      </c>
      <c r="C26" s="1391" t="s">
        <v>418</v>
      </c>
      <c r="D26" s="1392" t="s">
        <v>101</v>
      </c>
      <c r="E26" s="1393"/>
      <c r="F26" s="1394">
        <v>3900000</v>
      </c>
      <c r="G26" s="1395">
        <f>H29/H27%</f>
        <v>94.885426498797727</v>
      </c>
      <c r="H26" s="1396"/>
      <c r="I26" s="1396"/>
      <c r="J26" s="1397"/>
      <c r="K26" s="1398"/>
      <c r="L26" s="1398"/>
      <c r="M26" s="1398"/>
      <c r="N26" s="1397"/>
      <c r="O26" s="3897" t="s">
        <v>419</v>
      </c>
      <c r="P26" s="3903"/>
    </row>
    <row r="27" spans="1:16" ht="15.75" customHeight="1" thickTop="1">
      <c r="A27" s="955"/>
      <c r="B27" s="1345" t="s">
        <v>317</v>
      </c>
      <c r="C27" s="1346"/>
      <c r="D27" s="1347"/>
      <c r="E27" s="1347"/>
      <c r="F27" s="1347"/>
      <c r="G27" s="1399"/>
      <c r="H27" s="1347">
        <f>I27+J27+K27+L27+M27+N27</f>
        <v>49776213</v>
      </c>
      <c r="I27" s="1348">
        <f>'Tab. 6A -Drogi'!M189</f>
        <v>6211821</v>
      </c>
      <c r="J27" s="1348">
        <f>'Tab. 6A -Drogi'!N189</f>
        <v>5571486</v>
      </c>
      <c r="K27" s="1348">
        <f>'Tab. 6A -Drogi'!O189</f>
        <v>37942906</v>
      </c>
      <c r="L27" s="1348">
        <f>'Tab. 6A -Drogi'!P189</f>
        <v>50000</v>
      </c>
      <c r="M27" s="1348">
        <f>'Tab. 6A -Drogi'!Q189</f>
        <v>0</v>
      </c>
      <c r="N27" s="1348">
        <f>'Tab. 6A -Drogi'!R189</f>
        <v>0</v>
      </c>
      <c r="O27" s="3898"/>
      <c r="P27" s="3904"/>
    </row>
    <row r="28" spans="1:16" ht="15" customHeight="1">
      <c r="A28" s="955"/>
      <c r="B28" s="1349" t="s">
        <v>318</v>
      </c>
      <c r="C28" s="1367"/>
      <c r="D28" s="1371"/>
      <c r="E28" s="1371"/>
      <c r="F28" s="1371"/>
      <c r="G28" s="1369"/>
      <c r="H28" s="1352">
        <f>I28+J28+K28+L28+M28+N28</f>
        <v>2545841</v>
      </c>
      <c r="I28" s="1353">
        <f>'Tab. 6A -Drogi'!M191</f>
        <v>111462</v>
      </c>
      <c r="J28" s="1353">
        <f>'Tab. 6A -Drogi'!N191</f>
        <v>55472</v>
      </c>
      <c r="K28" s="1353">
        <f>'Tab. 6A -Drogi'!O191</f>
        <v>2328907</v>
      </c>
      <c r="L28" s="1353">
        <f>'Tab. 6A -Drogi'!P191</f>
        <v>50000</v>
      </c>
      <c r="M28" s="1353">
        <f>'Tab. 6A -Drogi'!Q191</f>
        <v>0</v>
      </c>
      <c r="N28" s="1353">
        <f>'Tab. 6A -Drogi'!R191</f>
        <v>0</v>
      </c>
      <c r="O28" s="3898"/>
      <c r="P28" s="3904"/>
    </row>
    <row r="29" spans="1:16" ht="13.5" customHeight="1" thickBot="1">
      <c r="A29" s="956"/>
      <c r="B29" s="1400" t="s">
        <v>319</v>
      </c>
      <c r="C29" s="1401"/>
      <c r="D29" s="1381"/>
      <c r="E29" s="1382"/>
      <c r="F29" s="1382"/>
      <c r="G29" s="1383"/>
      <c r="H29" s="1384">
        <f>I29+J29+K29+L29+M29+N29</f>
        <v>47230372</v>
      </c>
      <c r="I29" s="1385">
        <f>'Tab. 6A -Drogi'!M193</f>
        <v>6100359</v>
      </c>
      <c r="J29" s="1385">
        <f>'Tab. 6A -Drogi'!N193</f>
        <v>5516014</v>
      </c>
      <c r="K29" s="1385">
        <f>'Tab. 6A -Drogi'!O193</f>
        <v>35613999</v>
      </c>
      <c r="L29" s="1385">
        <f>'Tab. 6A -Drogi'!P193</f>
        <v>0</v>
      </c>
      <c r="M29" s="1385">
        <f>'Tab. 6A -Drogi'!Q193</f>
        <v>0</v>
      </c>
      <c r="N29" s="1385">
        <f>'Tab. 6A -Drogi'!R193</f>
        <v>0</v>
      </c>
      <c r="O29" s="3899"/>
      <c r="P29" s="3905"/>
    </row>
    <row r="30" spans="1:16" ht="13.5" customHeight="1">
      <c r="A30" s="1330"/>
      <c r="B30" s="1331"/>
      <c r="C30" s="1332"/>
      <c r="D30" s="1154"/>
      <c r="E30" s="1154"/>
      <c r="F30" s="1154"/>
      <c r="G30" s="1333"/>
      <c r="H30" s="1334"/>
      <c r="I30" s="969"/>
      <c r="J30" s="969"/>
      <c r="K30" s="969"/>
      <c r="L30" s="969"/>
      <c r="M30" s="969"/>
      <c r="N30" s="969"/>
      <c r="O30" s="1335"/>
      <c r="P30" s="1335"/>
    </row>
    <row r="31" spans="1:16" ht="13.5" customHeight="1" thickBot="1">
      <c r="A31" s="1330"/>
      <c r="B31" s="1331"/>
      <c r="C31" s="1332"/>
      <c r="D31" s="1154"/>
      <c r="E31" s="1154"/>
      <c r="F31" s="1154"/>
      <c r="G31" s="1333"/>
      <c r="H31" s="1334"/>
      <c r="I31" s="969"/>
      <c r="J31" s="969"/>
      <c r="K31" s="969"/>
      <c r="L31" s="969"/>
      <c r="M31" s="969"/>
      <c r="N31" s="969"/>
      <c r="O31" s="1335"/>
      <c r="P31" s="1335"/>
    </row>
    <row r="32" spans="1:16" ht="22.5" customHeight="1" thickBot="1">
      <c r="A32" s="3890" t="s">
        <v>422</v>
      </c>
      <c r="B32" s="3891"/>
      <c r="C32" s="1405"/>
      <c r="D32" s="1405"/>
      <c r="E32" s="1405"/>
      <c r="F32" s="1405"/>
      <c r="G32" s="1405"/>
      <c r="H32" s="1406"/>
      <c r="I32" s="1406"/>
      <c r="J32" s="1406"/>
      <c r="K32" s="1406">
        <f>+K9+'Tab. 6A -Drogi'!O386</f>
        <v>16296311</v>
      </c>
      <c r="L32" s="1406">
        <f>+L9+'Tab. 6A -Drogi'!P386</f>
        <v>268461</v>
      </c>
      <c r="M32" s="1406"/>
      <c r="N32" s="1407"/>
    </row>
    <row r="33" spans="1:14" s="950" customFormat="1" ht="15">
      <c r="A33" s="971"/>
      <c r="B33" s="1402"/>
      <c r="C33" s="1402"/>
      <c r="D33" s="1403"/>
      <c r="E33" s="1403"/>
      <c r="F33" s="1403"/>
      <c r="G33" s="1403"/>
      <c r="H33" s="1404"/>
      <c r="I33" s="971"/>
      <c r="J33" s="971"/>
      <c r="K33" s="972"/>
      <c r="L33" s="972"/>
      <c r="M33" s="971"/>
      <c r="N33" s="971"/>
    </row>
    <row r="34" spans="1:14" ht="24.75" customHeight="1">
      <c r="A34" s="3892" t="s">
        <v>424</v>
      </c>
      <c r="B34" s="3892"/>
      <c r="C34" s="3892"/>
      <c r="D34" s="3892"/>
      <c r="E34" s="3892"/>
      <c r="F34" s="3892"/>
      <c r="G34" s="3892"/>
      <c r="H34" s="3892"/>
      <c r="I34" s="3892"/>
      <c r="J34" s="962"/>
      <c r="K34" s="962"/>
      <c r="L34" s="962"/>
      <c r="M34" s="962"/>
      <c r="N34" s="962"/>
    </row>
    <row r="35" spans="1:14" s="856" customFormat="1" ht="56.25" customHeight="1">
      <c r="A35" s="3893" t="s">
        <v>328</v>
      </c>
      <c r="B35" s="3894"/>
      <c r="C35" s="973" t="s">
        <v>329</v>
      </c>
      <c r="D35" s="3895" t="s">
        <v>330</v>
      </c>
      <c r="E35" s="3896"/>
      <c r="F35" s="3895" t="s">
        <v>331</v>
      </c>
      <c r="G35" s="3896"/>
      <c r="H35" s="974" t="s">
        <v>332</v>
      </c>
    </row>
    <row r="36" spans="1:14" s="856" customFormat="1" ht="15" customHeight="1">
      <c r="A36" s="3884">
        <v>1</v>
      </c>
      <c r="B36" s="3885"/>
      <c r="C36" s="975">
        <v>2</v>
      </c>
      <c r="D36" s="3886">
        <v>3</v>
      </c>
      <c r="E36" s="3887"/>
      <c r="F36" s="3886">
        <v>4</v>
      </c>
      <c r="G36" s="3887"/>
      <c r="H36" s="975">
        <v>5</v>
      </c>
    </row>
    <row r="37" spans="1:14" s="856" customFormat="1" ht="21" customHeight="1">
      <c r="A37" s="976">
        <v>1</v>
      </c>
      <c r="B37" s="1166" t="s">
        <v>417</v>
      </c>
      <c r="C37" s="978">
        <v>30000000</v>
      </c>
      <c r="D37" s="3888">
        <f>'[1]2013 EBI'!$C$26+'[1]2013 EBI UE'!$C$26</f>
        <v>1212121.2121212122</v>
      </c>
      <c r="E37" s="3889"/>
      <c r="F37" s="3888">
        <f>'[1]2013 EBI'!$E$26+'[1]2013 EBI UE'!$E$26</f>
        <v>671470.48567870492</v>
      </c>
      <c r="G37" s="3889"/>
      <c r="H37" s="978">
        <f>+D37+F37</f>
        <v>1883591.6977999171</v>
      </c>
      <c r="K37" s="979"/>
      <c r="L37" s="979"/>
    </row>
    <row r="38" spans="1:14" s="856" customFormat="1" ht="33.75" customHeight="1">
      <c r="A38" s="976">
        <v>2</v>
      </c>
      <c r="B38" s="980" t="s">
        <v>425</v>
      </c>
      <c r="C38" s="981">
        <f>+K9</f>
        <v>2376311</v>
      </c>
      <c r="D38" s="3906">
        <f>+D37*C39</f>
        <v>96012.565656565668</v>
      </c>
      <c r="E38" s="3907"/>
      <c r="F38" s="3906">
        <f>+F37*C39</f>
        <v>53187.423376454972</v>
      </c>
      <c r="G38" s="3907"/>
      <c r="H38" s="981">
        <f>+D38+F38</f>
        <v>149199.98903302063</v>
      </c>
    </row>
    <row r="39" spans="1:14" ht="26.25" customHeight="1">
      <c r="A39" s="982">
        <v>3</v>
      </c>
      <c r="B39" s="983" t="s">
        <v>333</v>
      </c>
      <c r="C39" s="3908">
        <f>+C38/C37</f>
        <v>7.9210366666666671E-2</v>
      </c>
      <c r="D39" s="3909"/>
      <c r="E39" s="3909"/>
      <c r="F39" s="3909"/>
      <c r="G39" s="3910"/>
      <c r="H39" s="983"/>
    </row>
    <row r="40" spans="1:14" ht="29.25" customHeight="1">
      <c r="A40" s="976">
        <v>4</v>
      </c>
      <c r="B40" s="984" t="s">
        <v>334</v>
      </c>
      <c r="C40" s="1408" t="s">
        <v>335</v>
      </c>
      <c r="D40" s="3880">
        <f>+D38</f>
        <v>96012.565656565668</v>
      </c>
      <c r="E40" s="3881"/>
      <c r="F40" s="3880">
        <f>'[1]2013 EBI UE'!$E$31*C39+'[1]2013 EBI'!$E$31*C39</f>
        <v>51053.754543237868</v>
      </c>
      <c r="G40" s="3881"/>
      <c r="H40" s="1409">
        <f>+D40+F40</f>
        <v>147066.32019980354</v>
      </c>
    </row>
    <row r="41" spans="1:14">
      <c r="A41" s="982">
        <v>5</v>
      </c>
      <c r="B41" s="977"/>
      <c r="C41" s="1408" t="s">
        <v>336</v>
      </c>
      <c r="D41" s="3880">
        <f>+D40</f>
        <v>96012.565656565668</v>
      </c>
      <c r="E41" s="3881"/>
      <c r="F41" s="3880">
        <f>'[1]2013 EBI UE'!$E$36*$C$39+'[1]2013 EBI'!$E$36*$C$39</f>
        <v>48636.427764333755</v>
      </c>
      <c r="G41" s="3881"/>
      <c r="H41" s="981">
        <f t="shared" ref="H41:H62" si="1">+D41+F41</f>
        <v>144648.99342089944</v>
      </c>
    </row>
    <row r="42" spans="1:14">
      <c r="A42" s="976">
        <v>6</v>
      </c>
      <c r="B42" s="977"/>
      <c r="C42" s="1408" t="s">
        <v>337</v>
      </c>
      <c r="D42" s="3880">
        <f t="shared" ref="D42:D59" si="2">+D40</f>
        <v>96012.565656565668</v>
      </c>
      <c r="E42" s="3881"/>
      <c r="F42" s="3880">
        <f>'[1]2013 EBI UE'!$E$41*$C$39+'[1]2013 EBI'!$E$41*$C$39</f>
        <v>46360.929958273147</v>
      </c>
      <c r="G42" s="3881"/>
      <c r="H42" s="981">
        <f t="shared" si="1"/>
        <v>142373.49561483882</v>
      </c>
    </row>
    <row r="43" spans="1:14">
      <c r="A43" s="982">
        <v>7</v>
      </c>
      <c r="B43" s="977"/>
      <c r="C43" s="1408" t="s">
        <v>338</v>
      </c>
      <c r="D43" s="3880">
        <f t="shared" si="2"/>
        <v>96012.565656565668</v>
      </c>
      <c r="E43" s="3881"/>
      <c r="F43" s="3880">
        <f>'[1]2013 EBI UE'!$E$46*$C$39+'[1]2013 EBI'!$E$46*$C$39</f>
        <v>44085.432152212539</v>
      </c>
      <c r="G43" s="3881"/>
      <c r="H43" s="981">
        <f t="shared" si="1"/>
        <v>140097.99780877819</v>
      </c>
    </row>
    <row r="44" spans="1:14">
      <c r="A44" s="976">
        <v>8</v>
      </c>
      <c r="B44" s="977"/>
      <c r="C44" s="1408" t="s">
        <v>339</v>
      </c>
      <c r="D44" s="3880">
        <f t="shared" si="2"/>
        <v>96012.565656565668</v>
      </c>
      <c r="E44" s="3881"/>
      <c r="F44" s="3880">
        <f>'[1]2013 EBI UE'!$E$51*$C$39+'[1]2013 EBI'!$E$51*$C$39</f>
        <v>41926.826356737241</v>
      </c>
      <c r="G44" s="3881"/>
      <c r="H44" s="981">
        <f t="shared" si="1"/>
        <v>137939.39201330292</v>
      </c>
    </row>
    <row r="45" spans="1:14">
      <c r="A45" s="982">
        <v>9</v>
      </c>
      <c r="B45" s="985"/>
      <c r="C45" s="1408" t="s">
        <v>340</v>
      </c>
      <c r="D45" s="3880">
        <f t="shared" si="2"/>
        <v>96012.565656565668</v>
      </c>
      <c r="E45" s="3881"/>
      <c r="F45" s="3880">
        <f>'[1]2013 EBI UE'!$E$56*$C$39+'[1]2013 EBI'!$E$56*$C$39</f>
        <v>39534.436540091338</v>
      </c>
      <c r="G45" s="3881"/>
      <c r="H45" s="981">
        <f t="shared" si="1"/>
        <v>135547.00219665701</v>
      </c>
    </row>
    <row r="46" spans="1:14">
      <c r="A46" s="976">
        <v>10</v>
      </c>
      <c r="B46" s="985"/>
      <c r="C46" s="1408" t="s">
        <v>341</v>
      </c>
      <c r="D46" s="3880">
        <f t="shared" si="2"/>
        <v>96012.565656565668</v>
      </c>
      <c r="E46" s="3881"/>
      <c r="F46" s="3880">
        <f>'[1]2013 EBI UE'!$E$61*$C$39+'[1]2013 EBI'!$E$61*$C$39</f>
        <v>37258.938734030729</v>
      </c>
      <c r="G46" s="3881"/>
      <c r="H46" s="981">
        <f t="shared" si="1"/>
        <v>133271.50439059641</v>
      </c>
    </row>
    <row r="47" spans="1:14">
      <c r="A47" s="982">
        <v>11</v>
      </c>
      <c r="B47" s="985"/>
      <c r="C47" s="1408" t="s">
        <v>342</v>
      </c>
      <c r="D47" s="3880">
        <f t="shared" si="2"/>
        <v>96012.565656565668</v>
      </c>
      <c r="E47" s="3881"/>
      <c r="F47" s="3880">
        <f>'[1]2013 EBI UE'!$E$66*$C$39+'[1]2013 EBI'!$E$66*$C$39</f>
        <v>34983.440927970129</v>
      </c>
      <c r="G47" s="3881"/>
      <c r="H47" s="981">
        <f t="shared" si="1"/>
        <v>130996.00658453579</v>
      </c>
    </row>
    <row r="48" spans="1:14">
      <c r="A48" s="976">
        <v>12</v>
      </c>
      <c r="B48" s="985"/>
      <c r="C48" s="1408" t="s">
        <v>343</v>
      </c>
      <c r="D48" s="3880">
        <f t="shared" si="2"/>
        <v>96012.565656565668</v>
      </c>
      <c r="E48" s="3881"/>
      <c r="F48" s="3880">
        <f>'[1]2013 EBI UE'!$E$71*$C$39+'[1]2013 EBI'!$E$71*$C$39</f>
        <v>32799.898170236636</v>
      </c>
      <c r="G48" s="3881"/>
      <c r="H48" s="981">
        <f t="shared" si="1"/>
        <v>128812.4638268023</v>
      </c>
    </row>
    <row r="49" spans="1:8">
      <c r="A49" s="982">
        <v>13</v>
      </c>
      <c r="B49" s="985"/>
      <c r="C49" s="1408" t="s">
        <v>344</v>
      </c>
      <c r="D49" s="3880">
        <f t="shared" si="2"/>
        <v>96012.565656565668</v>
      </c>
      <c r="E49" s="3881"/>
      <c r="F49" s="3880">
        <f>'[1]2013 EBI UE'!$E$76*$C$39+'[1]2013 EBI'!$E$76*$C$39</f>
        <v>30432.445315848934</v>
      </c>
      <c r="G49" s="3881"/>
      <c r="H49" s="981">
        <f t="shared" si="1"/>
        <v>126445.0109724146</v>
      </c>
    </row>
    <row r="50" spans="1:8">
      <c r="A50" s="976">
        <v>14</v>
      </c>
      <c r="B50" s="985"/>
      <c r="C50" s="1408" t="s">
        <v>345</v>
      </c>
      <c r="D50" s="3880">
        <f t="shared" si="2"/>
        <v>96012.565656565668</v>
      </c>
      <c r="E50" s="3881"/>
      <c r="F50" s="3880">
        <f>'[1]2013 EBI UE'!$E$81*$C$39+'[1]2013 EBI'!$E$81*$C$39</f>
        <v>28156.947509788333</v>
      </c>
      <c r="G50" s="3881"/>
      <c r="H50" s="981">
        <f t="shared" si="1"/>
        <v>124169.51316635401</v>
      </c>
    </row>
    <row r="51" spans="1:8">
      <c r="A51" s="982">
        <v>15</v>
      </c>
      <c r="B51" s="985"/>
      <c r="C51" s="1408" t="s">
        <v>346</v>
      </c>
      <c r="D51" s="3880">
        <f t="shared" si="2"/>
        <v>96012.565656565668</v>
      </c>
      <c r="E51" s="3881"/>
      <c r="F51" s="3880">
        <f>'[1]2013 EBI UE'!$E$86*$C$39+'[1]2013 EBI'!$E$86*$C$39</f>
        <v>25881.449703727729</v>
      </c>
      <c r="G51" s="3881"/>
      <c r="H51" s="981">
        <f t="shared" si="1"/>
        <v>121894.0153602934</v>
      </c>
    </row>
    <row r="52" spans="1:8">
      <c r="A52" s="976">
        <v>16</v>
      </c>
      <c r="B52" s="985"/>
      <c r="C52" s="1408" t="s">
        <v>347</v>
      </c>
      <c r="D52" s="3880">
        <f t="shared" si="2"/>
        <v>96012.565656565668</v>
      </c>
      <c r="E52" s="3881"/>
      <c r="F52" s="3880">
        <f>'[1]2013 EBI UE'!$E$91*$C$39+'[1]2013 EBI'!$E$91*$C$39</f>
        <v>23672.969983736039</v>
      </c>
      <c r="G52" s="3881"/>
      <c r="H52" s="981">
        <f t="shared" si="1"/>
        <v>119685.53564030171</v>
      </c>
    </row>
    <row r="53" spans="1:8">
      <c r="A53" s="982">
        <v>17</v>
      </c>
      <c r="B53" s="985"/>
      <c r="C53" s="1408" t="s">
        <v>348</v>
      </c>
      <c r="D53" s="3880">
        <f t="shared" si="2"/>
        <v>96012.565656565668</v>
      </c>
      <c r="E53" s="3881"/>
      <c r="F53" s="3880">
        <f>'[1]2013 EBI UE'!$E$96*$C$39+'[1]2013 EBI'!$E$96*$C$39</f>
        <v>21330.45409160652</v>
      </c>
      <c r="G53" s="3881"/>
      <c r="H53" s="981">
        <f t="shared" si="1"/>
        <v>117343.01974817218</v>
      </c>
    </row>
    <row r="54" spans="1:8">
      <c r="A54" s="976">
        <v>18</v>
      </c>
      <c r="B54" s="985"/>
      <c r="C54" s="1408" t="s">
        <v>349</v>
      </c>
      <c r="D54" s="3880">
        <f t="shared" si="2"/>
        <v>96012.565656565668</v>
      </c>
      <c r="E54" s="3881"/>
      <c r="F54" s="3880">
        <f>'[1]2013 EBI UE'!$E$101*$C$39+'[1]2013 EBI'!$E$101*$C$39</f>
        <v>19054.956285545919</v>
      </c>
      <c r="G54" s="3881"/>
      <c r="H54" s="981">
        <f t="shared" si="1"/>
        <v>115067.52194211159</v>
      </c>
    </row>
    <row r="55" spans="1:8">
      <c r="A55" s="982">
        <v>19</v>
      </c>
      <c r="B55" s="985"/>
      <c r="C55" s="1408" t="s">
        <v>350</v>
      </c>
      <c r="D55" s="3880">
        <f t="shared" si="2"/>
        <v>96012.565656565668</v>
      </c>
      <c r="E55" s="3881"/>
      <c r="F55" s="3880">
        <f>'[1]2013 EBI UE'!$E$106*$C$39+'[1]2013 EBI'!$E$106*$C$39</f>
        <v>16779.458479485314</v>
      </c>
      <c r="G55" s="3881"/>
      <c r="H55" s="981">
        <f t="shared" si="1"/>
        <v>112792.02413605098</v>
      </c>
    </row>
    <row r="56" spans="1:8">
      <c r="A56" s="976">
        <v>20</v>
      </c>
      <c r="B56" s="985"/>
      <c r="C56" s="1408" t="s">
        <v>351</v>
      </c>
      <c r="D56" s="3880">
        <f t="shared" si="2"/>
        <v>96012.565656565668</v>
      </c>
      <c r="E56" s="3881"/>
      <c r="F56" s="3880">
        <f>'[1]2013 EBI UE'!$E$111*$C$39+'[1]2013 EBI'!$E$111*$C$39</f>
        <v>14546.041797235417</v>
      </c>
      <c r="G56" s="3881"/>
      <c r="H56" s="981">
        <f t="shared" si="1"/>
        <v>110558.60745380109</v>
      </c>
    </row>
    <row r="57" spans="1:8">
      <c r="A57" s="982">
        <v>21</v>
      </c>
      <c r="B57" s="985"/>
      <c r="C57" s="1408" t="s">
        <v>352</v>
      </c>
      <c r="D57" s="3880">
        <f t="shared" si="2"/>
        <v>96012.565656565668</v>
      </c>
      <c r="E57" s="3881"/>
      <c r="F57" s="3880">
        <f>'[1]2013 EBI UE'!$E$116*$C$39+'[1]2013 EBI'!$E$116*$C$39</f>
        <v>12228.4628673641</v>
      </c>
      <c r="G57" s="3881"/>
      <c r="H57" s="981">
        <f t="shared" si="1"/>
        <v>108241.02852392977</v>
      </c>
    </row>
    <row r="58" spans="1:8">
      <c r="A58" s="976">
        <v>22</v>
      </c>
      <c r="B58" s="985"/>
      <c r="C58" s="1408" t="s">
        <v>353</v>
      </c>
      <c r="D58" s="3880">
        <f t="shared" si="2"/>
        <v>96012.565656565668</v>
      </c>
      <c r="E58" s="3881"/>
      <c r="F58" s="3880">
        <f>'[1]2013 EBI UE'!$E$121*$C$39+'[1]2013 EBI'!$E$121*$C$39</f>
        <v>9952.9650613034937</v>
      </c>
      <c r="G58" s="3881"/>
      <c r="H58" s="981">
        <f t="shared" si="1"/>
        <v>105965.53071786916</v>
      </c>
    </row>
    <row r="59" spans="1:8">
      <c r="A59" s="982">
        <v>23</v>
      </c>
      <c r="B59" s="985"/>
      <c r="C59" s="1408" t="s">
        <v>354</v>
      </c>
      <c r="D59" s="3880">
        <f t="shared" si="2"/>
        <v>96012.565656565668</v>
      </c>
      <c r="E59" s="3881"/>
      <c r="F59" s="3880">
        <f>'[1]2013 EBI UE'!$E$126*$C$39+'[1]2013 EBI'!$E$126*$C$39</f>
        <v>7677.4672552428856</v>
      </c>
      <c r="G59" s="3881"/>
      <c r="H59" s="981">
        <f t="shared" si="1"/>
        <v>103690.03291180855</v>
      </c>
    </row>
    <row r="60" spans="1:8">
      <c r="A60" s="976">
        <v>24</v>
      </c>
      <c r="B60" s="985"/>
      <c r="C60" s="1408" t="s">
        <v>355</v>
      </c>
      <c r="D60" s="3880">
        <v>282406</v>
      </c>
      <c r="E60" s="3881"/>
      <c r="F60" s="3880">
        <f>'[1]2013 EBI UE'!$E$131*$C$39+'[1]2013 EBI'!$E$131*$C$39</f>
        <v>5419.1136107347902</v>
      </c>
      <c r="G60" s="3881"/>
      <c r="H60" s="981">
        <f t="shared" si="1"/>
        <v>287825.11361073481</v>
      </c>
    </row>
    <row r="61" spans="1:8">
      <c r="A61" s="982">
        <v>25</v>
      </c>
      <c r="B61" s="985"/>
      <c r="C61" s="1408" t="s">
        <v>356</v>
      </c>
      <c r="D61" s="3880">
        <v>282401</v>
      </c>
      <c r="E61" s="3881"/>
      <c r="F61" s="3880">
        <f>'[1]2013 EBI UE'!$E$136*$C$39+'[1]2013 EBI'!$E$136*$C$39</f>
        <v>3126.471643121673</v>
      </c>
      <c r="G61" s="3881"/>
      <c r="H61" s="981">
        <f t="shared" si="1"/>
        <v>285527.47164312168</v>
      </c>
    </row>
    <row r="62" spans="1:8">
      <c r="A62" s="976">
        <v>26</v>
      </c>
      <c r="B62" s="985"/>
      <c r="C62" s="1408" t="s">
        <v>357</v>
      </c>
      <c r="D62" s="3880">
        <v>282410</v>
      </c>
      <c r="E62" s="3881"/>
      <c r="F62" s="3880">
        <f>'[1]2013 EBI UE'!$E$141*$C$39+'[1]2013 EBI'!$E$141*$C$39</f>
        <v>850.97383706105529</v>
      </c>
      <c r="G62" s="3881"/>
      <c r="H62" s="981">
        <f t="shared" si="1"/>
        <v>283260.97383706103</v>
      </c>
    </row>
    <row r="63" spans="1:8">
      <c r="A63" s="982">
        <v>27</v>
      </c>
      <c r="B63" s="985"/>
      <c r="C63" s="1408"/>
      <c r="D63" s="3880"/>
      <c r="E63" s="3881"/>
      <c r="F63" s="3882"/>
      <c r="G63" s="3883"/>
      <c r="H63" s="981"/>
    </row>
    <row r="66" spans="5:5">
      <c r="E66" s="720">
        <f>+SUM(D40:E63)+D38</f>
        <v>2863480.8787878784</v>
      </c>
    </row>
    <row r="67" spans="5:5">
      <c r="E67" s="720">
        <f>C38-E66</f>
        <v>-487169.87878787844</v>
      </c>
    </row>
  </sheetData>
  <mergeCells count="85">
    <mergeCell ref="A1:O1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J4:J7"/>
    <mergeCell ref="K4:N6"/>
    <mergeCell ref="O4:O7"/>
    <mergeCell ref="P4:P7"/>
    <mergeCell ref="O10:O13"/>
    <mergeCell ref="P10:P13"/>
    <mergeCell ref="O14:O17"/>
    <mergeCell ref="P14:P17"/>
    <mergeCell ref="O18:O21"/>
    <mergeCell ref="P18:P21"/>
    <mergeCell ref="O22:O25"/>
    <mergeCell ref="P22:P25"/>
    <mergeCell ref="D40:E40"/>
    <mergeCell ref="F40:G40"/>
    <mergeCell ref="D38:E38"/>
    <mergeCell ref="F38:G38"/>
    <mergeCell ref="C39:G39"/>
    <mergeCell ref="O26:O29"/>
    <mergeCell ref="P26:P29"/>
    <mergeCell ref="A32:B32"/>
    <mergeCell ref="A34:I34"/>
    <mergeCell ref="A35:B35"/>
    <mergeCell ref="D35:E35"/>
    <mergeCell ref="F35:G35"/>
    <mergeCell ref="A36:B36"/>
    <mergeCell ref="D36:E36"/>
    <mergeCell ref="F36:G36"/>
    <mergeCell ref="D37:E37"/>
    <mergeCell ref="F37:G37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D58:E58"/>
    <mergeCell ref="F58:G58"/>
    <mergeCell ref="D62:E62"/>
    <mergeCell ref="F62:G62"/>
    <mergeCell ref="D63:E63"/>
    <mergeCell ref="F63:G63"/>
    <mergeCell ref="D59:E59"/>
    <mergeCell ref="F59:G59"/>
    <mergeCell ref="D60:E60"/>
    <mergeCell ref="F60:G60"/>
    <mergeCell ref="D61:E61"/>
    <mergeCell ref="F61:G61"/>
  </mergeCells>
  <pageMargins left="0.19685039370078741" right="0.11811023622047245" top="0.27559055118110237" bottom="0.23622047244094491" header="0.19685039370078741" footer="0.15748031496062992"/>
  <pageSetup paperSize="9" scale="64" orientation="landscape" r:id="rId1"/>
  <headerFooter alignWithMargins="0">
    <oddFooter>&amp;C&amp;P</oddFooter>
  </headerFooter>
  <rowBreaks count="1" manualBreakCount="1">
    <brk id="32" max="15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525"/>
  <sheetViews>
    <sheetView showGridLines="0" view="pageBreakPreview" zoomScaleNormal="100" zoomScaleSheetLayoutView="100" workbookViewId="0">
      <pane ySplit="7" topLeftCell="A89" activePane="bottomLeft" state="frozen"/>
      <selection activeCell="U30" sqref="U30"/>
      <selection pane="bottomLeft" activeCell="AA113" sqref="AA113"/>
    </sheetView>
  </sheetViews>
  <sheetFormatPr defaultColWidth="9.140625" defaultRowHeight="11.25"/>
  <cols>
    <col min="1" max="1" width="2.85546875" style="730" customWidth="1"/>
    <col min="2" max="2" width="63.140625" style="731" customWidth="1"/>
    <col min="3" max="3" width="11" style="731" customWidth="1"/>
    <col min="4" max="4" width="12.7109375" style="731" customWidth="1"/>
    <col min="5" max="5" width="7.42578125" style="731" hidden="1" customWidth="1"/>
    <col min="6" max="8" width="11.5703125" style="731" hidden="1" customWidth="1"/>
    <col min="9" max="9" width="6" style="731" hidden="1" customWidth="1"/>
    <col min="10" max="10" width="8.5703125" style="731" hidden="1" customWidth="1"/>
    <col min="11" max="11" width="7.42578125" style="731" hidden="1" customWidth="1"/>
    <col min="12" max="12" width="9.7109375" style="731" hidden="1" customWidth="1"/>
    <col min="13" max="13" width="13.28515625" style="731" customWidth="1"/>
    <col min="14" max="14" width="10.140625" style="731" hidden="1" customWidth="1"/>
    <col min="15" max="15" width="10.85546875" style="731" customWidth="1"/>
    <col min="16" max="16" width="10.42578125" style="850" customWidth="1"/>
    <col min="17" max="17" width="7.28515625" style="848" customWidth="1"/>
    <col min="18" max="18" width="7.140625" style="848" customWidth="1"/>
    <col min="19" max="23" width="6.5703125" style="848" bestFit="1" customWidth="1"/>
    <col min="24" max="24" width="12.5703125" style="848" customWidth="1"/>
    <col min="25" max="25" width="13.28515625" style="847" customWidth="1"/>
    <col min="26" max="26" width="11.85546875" style="731" customWidth="1"/>
    <col min="27" max="16384" width="9.140625" style="731"/>
  </cols>
  <sheetData>
    <row r="1" spans="1:27" ht="39" customHeight="1">
      <c r="O1" s="721"/>
      <c r="P1" s="731"/>
      <c r="R1" s="1222" t="s">
        <v>262</v>
      </c>
      <c r="S1" s="731"/>
      <c r="T1" s="331"/>
      <c r="U1" s="331"/>
      <c r="V1" s="331"/>
      <c r="W1" s="331"/>
      <c r="X1" s="331"/>
      <c r="Y1" s="332"/>
    </row>
    <row r="2" spans="1:27" ht="33.75" hidden="1" customHeight="1">
      <c r="N2" s="333"/>
      <c r="O2" s="732"/>
      <c r="P2" s="731"/>
      <c r="Q2" s="731"/>
      <c r="R2" s="731"/>
      <c r="S2" s="731"/>
      <c r="T2" s="331"/>
      <c r="U2" s="331"/>
      <c r="V2" s="331"/>
      <c r="W2" s="331"/>
      <c r="X2" s="331"/>
      <c r="Y2" s="332"/>
    </row>
    <row r="3" spans="1:27" ht="48" customHeight="1" thickBot="1">
      <c r="A3" s="4678" t="s">
        <v>263</v>
      </c>
      <c r="B3" s="4678"/>
      <c r="C3" s="4678"/>
      <c r="D3" s="4678"/>
      <c r="E3" s="4678"/>
      <c r="F3" s="4678"/>
      <c r="G3" s="4678"/>
      <c r="H3" s="4678"/>
      <c r="I3" s="4678"/>
      <c r="J3" s="4678"/>
      <c r="K3" s="4678"/>
      <c r="L3" s="4678"/>
      <c r="M3" s="4678"/>
      <c r="N3" s="4678"/>
      <c r="O3" s="4678"/>
      <c r="P3" s="4678"/>
      <c r="Q3" s="4678"/>
      <c r="R3" s="4678"/>
      <c r="S3" s="4678"/>
      <c r="T3" s="4678"/>
      <c r="U3" s="4678"/>
      <c r="V3" s="4678"/>
      <c r="W3" s="4678"/>
      <c r="X3" s="4678"/>
      <c r="Y3" s="4678"/>
    </row>
    <row r="4" spans="1:27" ht="29.25" customHeight="1">
      <c r="A4" s="733"/>
      <c r="B4" s="4679" t="s">
        <v>91</v>
      </c>
      <c r="C4" s="4182" t="s">
        <v>87</v>
      </c>
      <c r="D4" s="3928" t="s">
        <v>147</v>
      </c>
      <c r="E4" s="4400" t="s">
        <v>3</v>
      </c>
      <c r="F4" s="4401"/>
      <c r="G4" s="4401"/>
      <c r="H4" s="4401"/>
      <c r="I4" s="4401"/>
      <c r="J4" s="4401"/>
      <c r="K4" s="4401"/>
      <c r="L4" s="4402"/>
      <c r="M4" s="4400" t="s">
        <v>523</v>
      </c>
      <c r="N4" s="1691"/>
      <c r="O4" s="4197" t="s">
        <v>539</v>
      </c>
      <c r="P4" s="4199" t="s">
        <v>540</v>
      </c>
      <c r="Q4" s="4200"/>
      <c r="R4" s="4200"/>
      <c r="S4" s="4200"/>
      <c r="T4" s="4200"/>
      <c r="U4" s="4200"/>
      <c r="V4" s="4200"/>
      <c r="W4" s="4201"/>
      <c r="X4" s="4189" t="s">
        <v>494</v>
      </c>
      <c r="Y4" s="4406" t="s">
        <v>89</v>
      </c>
    </row>
    <row r="5" spans="1:27" ht="29.25" customHeight="1">
      <c r="A5" s="734" t="s">
        <v>90</v>
      </c>
      <c r="B5" s="4680"/>
      <c r="C5" s="4682"/>
      <c r="D5" s="4398"/>
      <c r="E5" s="4403"/>
      <c r="F5" s="4404"/>
      <c r="G5" s="4404"/>
      <c r="H5" s="4404"/>
      <c r="I5" s="4404"/>
      <c r="J5" s="4404"/>
      <c r="K5" s="4404"/>
      <c r="L5" s="4405"/>
      <c r="M5" s="4403"/>
      <c r="N5" s="1178"/>
      <c r="O5" s="4198"/>
      <c r="P5" s="4202"/>
      <c r="Q5" s="4203"/>
      <c r="R5" s="4203"/>
      <c r="S5" s="4203"/>
      <c r="T5" s="4203"/>
      <c r="U5" s="4203"/>
      <c r="V5" s="4203"/>
      <c r="W5" s="4204"/>
      <c r="X5" s="4190"/>
      <c r="Y5" s="4407"/>
    </row>
    <row r="6" spans="1:27" ht="31.5" customHeight="1" thickBot="1">
      <c r="A6" s="734"/>
      <c r="B6" s="4681"/>
      <c r="C6" s="4682"/>
      <c r="D6" s="4399"/>
      <c r="E6" s="1767" t="s">
        <v>6</v>
      </c>
      <c r="F6" s="339" t="s">
        <v>7</v>
      </c>
      <c r="G6" s="339" t="s">
        <v>8</v>
      </c>
      <c r="H6" s="339" t="s">
        <v>9</v>
      </c>
      <c r="I6" s="1751" t="s">
        <v>10</v>
      </c>
      <c r="J6" s="1751" t="s">
        <v>11</v>
      </c>
      <c r="K6" s="1751" t="s">
        <v>12</v>
      </c>
      <c r="L6" s="1751" t="s">
        <v>13</v>
      </c>
      <c r="M6" s="1613" t="s">
        <v>489</v>
      </c>
      <c r="N6" s="1751" t="s">
        <v>14</v>
      </c>
      <c r="O6" s="1751" t="s">
        <v>15</v>
      </c>
      <c r="P6" s="1751" t="s">
        <v>16</v>
      </c>
      <c r="Q6" s="1751" t="s">
        <v>17</v>
      </c>
      <c r="R6" s="1751" t="s">
        <v>18</v>
      </c>
      <c r="S6" s="1162" t="s">
        <v>376</v>
      </c>
      <c r="T6" s="1162" t="s">
        <v>381</v>
      </c>
      <c r="U6" s="1162" t="s">
        <v>491</v>
      </c>
      <c r="V6" s="1162" t="s">
        <v>492</v>
      </c>
      <c r="W6" s="1162" t="s">
        <v>490</v>
      </c>
      <c r="X6" s="4191"/>
      <c r="Y6" s="4408"/>
    </row>
    <row r="7" spans="1:27" ht="15" customHeight="1">
      <c r="A7" s="869">
        <v>1</v>
      </c>
      <c r="B7" s="870">
        <v>2</v>
      </c>
      <c r="C7" s="871" t="s">
        <v>148</v>
      </c>
      <c r="D7" s="872" t="s">
        <v>149</v>
      </c>
      <c r="E7" s="872" t="s">
        <v>150</v>
      </c>
      <c r="F7" s="872">
        <v>8</v>
      </c>
      <c r="G7" s="872">
        <v>9</v>
      </c>
      <c r="H7" s="872">
        <v>10</v>
      </c>
      <c r="I7" s="872" t="s">
        <v>151</v>
      </c>
      <c r="J7" s="872" t="s">
        <v>152</v>
      </c>
      <c r="K7" s="872" t="s">
        <v>153</v>
      </c>
      <c r="L7" s="872" t="s">
        <v>154</v>
      </c>
      <c r="M7" s="1167">
        <v>5</v>
      </c>
      <c r="N7" s="1168" t="s">
        <v>493</v>
      </c>
      <c r="O7" s="1168">
        <v>6</v>
      </c>
      <c r="P7" s="1168">
        <v>7</v>
      </c>
      <c r="Q7" s="1168">
        <v>8</v>
      </c>
      <c r="R7" s="1167">
        <v>9</v>
      </c>
      <c r="S7" s="1167">
        <v>10</v>
      </c>
      <c r="T7" s="1167">
        <v>11</v>
      </c>
      <c r="U7" s="1167">
        <v>12</v>
      </c>
      <c r="V7" s="1167">
        <v>13</v>
      </c>
      <c r="W7" s="1167">
        <v>14</v>
      </c>
      <c r="X7" s="1169">
        <v>15</v>
      </c>
      <c r="Y7" s="1170">
        <v>16</v>
      </c>
    </row>
    <row r="8" spans="1:27" s="1769" customFormat="1" ht="16.5" customHeight="1">
      <c r="A8" s="727"/>
      <c r="B8" s="1012" t="s">
        <v>92</v>
      </c>
      <c r="C8" s="1013"/>
      <c r="D8" s="1010">
        <f>+D9+D10</f>
        <v>10388170</v>
      </c>
      <c r="E8" s="1010">
        <f t="shared" ref="E8:T8" si="0">+E9+E10</f>
        <v>0</v>
      </c>
      <c r="F8" s="1010">
        <f t="shared" si="0"/>
        <v>0</v>
      </c>
      <c r="G8" s="1010">
        <f t="shared" si="0"/>
        <v>0</v>
      </c>
      <c r="H8" s="1010">
        <f t="shared" si="0"/>
        <v>0</v>
      </c>
      <c r="I8" s="1010">
        <f t="shared" si="0"/>
        <v>0</v>
      </c>
      <c r="J8" s="1010">
        <f t="shared" si="0"/>
        <v>0</v>
      </c>
      <c r="K8" s="1010">
        <f t="shared" si="0"/>
        <v>646656</v>
      </c>
      <c r="L8" s="1010">
        <f t="shared" si="0"/>
        <v>2302319</v>
      </c>
      <c r="M8" s="1010">
        <f t="shared" si="0"/>
        <v>5208355</v>
      </c>
      <c r="N8" s="1010">
        <f t="shared" si="0"/>
        <v>2730161</v>
      </c>
      <c r="O8" s="1010">
        <f>+O9+O10</f>
        <v>5171574</v>
      </c>
      <c r="P8" s="1010">
        <f t="shared" si="0"/>
        <v>8241</v>
      </c>
      <c r="Q8" s="1010">
        <f t="shared" si="0"/>
        <v>0</v>
      </c>
      <c r="R8" s="1010">
        <f t="shared" si="0"/>
        <v>0</v>
      </c>
      <c r="S8" s="1010">
        <f t="shared" si="0"/>
        <v>0</v>
      </c>
      <c r="T8" s="1010">
        <f t="shared" si="0"/>
        <v>0</v>
      </c>
      <c r="U8" s="1010">
        <f t="shared" ref="U8:W8" si="1">+U9+U10</f>
        <v>0</v>
      </c>
      <c r="V8" s="1010">
        <f t="shared" si="1"/>
        <v>0</v>
      </c>
      <c r="W8" s="1010">
        <f t="shared" si="1"/>
        <v>0</v>
      </c>
      <c r="X8" s="742">
        <f>+X9+X10</f>
        <v>8241</v>
      </c>
      <c r="Y8" s="353"/>
      <c r="Z8" s="1056">
        <f>O8-O11</f>
        <v>0</v>
      </c>
    </row>
    <row r="9" spans="1:27" s="1769" customFormat="1" ht="13.5" customHeight="1">
      <c r="A9" s="727"/>
      <c r="B9" s="1014" t="s">
        <v>93</v>
      </c>
      <c r="C9" s="1015"/>
      <c r="D9" s="995">
        <f>+D22+D40+D49+D56+D72+D79+D95+D104</f>
        <v>9702556</v>
      </c>
      <c r="E9" s="995">
        <f t="shared" ref="E9:T9" si="2">+E22+E40+E49+E56+E72+E79+E95+E104</f>
        <v>0</v>
      </c>
      <c r="F9" s="995">
        <f t="shared" si="2"/>
        <v>0</v>
      </c>
      <c r="G9" s="995">
        <f t="shared" si="2"/>
        <v>0</v>
      </c>
      <c r="H9" s="995">
        <f t="shared" si="2"/>
        <v>0</v>
      </c>
      <c r="I9" s="995">
        <f t="shared" si="2"/>
        <v>0</v>
      </c>
      <c r="J9" s="995">
        <f t="shared" si="2"/>
        <v>0</v>
      </c>
      <c r="K9" s="995">
        <f t="shared" si="2"/>
        <v>646656</v>
      </c>
      <c r="L9" s="995">
        <f t="shared" si="2"/>
        <v>2268549</v>
      </c>
      <c r="M9" s="995">
        <f>+M22+M40+M49+M56+M72+M79+M95+M104</f>
        <v>5174585</v>
      </c>
      <c r="N9" s="995">
        <f>+N22+N40+N49+N56+N72+N79+N95+N104</f>
        <v>2730161</v>
      </c>
      <c r="O9" s="995">
        <f>+O22+O40+O49+O56+O72+O79+O95+O104</f>
        <v>4519730</v>
      </c>
      <c r="P9" s="995">
        <f t="shared" si="2"/>
        <v>8241</v>
      </c>
      <c r="Q9" s="995">
        <f t="shared" si="2"/>
        <v>0</v>
      </c>
      <c r="R9" s="995">
        <f t="shared" si="2"/>
        <v>0</v>
      </c>
      <c r="S9" s="995">
        <f t="shared" si="2"/>
        <v>0</v>
      </c>
      <c r="T9" s="995">
        <f t="shared" si="2"/>
        <v>0</v>
      </c>
      <c r="U9" s="995">
        <f t="shared" ref="U9:W9" si="3">+U22+U40+U49+U56+U72+U79+U95+U104</f>
        <v>0</v>
      </c>
      <c r="V9" s="995">
        <f t="shared" si="3"/>
        <v>0</v>
      </c>
      <c r="W9" s="995">
        <f t="shared" si="3"/>
        <v>0</v>
      </c>
      <c r="X9" s="354">
        <f>SUM(P9:S9)</f>
        <v>8241</v>
      </c>
      <c r="Y9" s="353"/>
      <c r="Z9" s="1056"/>
    </row>
    <row r="10" spans="1:27" s="1769" customFormat="1" ht="13.5" customHeight="1" thickBot="1">
      <c r="A10" s="727"/>
      <c r="B10" s="1016" t="s">
        <v>21</v>
      </c>
      <c r="C10" s="1017"/>
      <c r="D10" s="1018">
        <f>D31+D65+D88+D111</f>
        <v>685614</v>
      </c>
      <c r="E10" s="1018">
        <f t="shared" ref="E10:T10" si="4">E31+E65+E88+E111</f>
        <v>0</v>
      </c>
      <c r="F10" s="1018">
        <f t="shared" si="4"/>
        <v>0</v>
      </c>
      <c r="G10" s="1018">
        <f t="shared" si="4"/>
        <v>0</v>
      </c>
      <c r="H10" s="1018">
        <f t="shared" si="4"/>
        <v>0</v>
      </c>
      <c r="I10" s="1018">
        <f t="shared" si="4"/>
        <v>0</v>
      </c>
      <c r="J10" s="1018">
        <f t="shared" si="4"/>
        <v>0</v>
      </c>
      <c r="K10" s="1018">
        <f t="shared" si="4"/>
        <v>0</v>
      </c>
      <c r="L10" s="1018">
        <f t="shared" si="4"/>
        <v>33770</v>
      </c>
      <c r="M10" s="1018">
        <f>M31+M65+M88+M111</f>
        <v>33770</v>
      </c>
      <c r="N10" s="1018">
        <f t="shared" ref="N10" si="5">N31+N65+N88+N111</f>
        <v>0</v>
      </c>
      <c r="O10" s="1018">
        <f t="shared" si="4"/>
        <v>651844</v>
      </c>
      <c r="P10" s="1018">
        <f t="shared" si="4"/>
        <v>0</v>
      </c>
      <c r="Q10" s="1018">
        <f t="shared" si="4"/>
        <v>0</v>
      </c>
      <c r="R10" s="1018">
        <f t="shared" si="4"/>
        <v>0</v>
      </c>
      <c r="S10" s="1018">
        <f t="shared" si="4"/>
        <v>0</v>
      </c>
      <c r="T10" s="1018">
        <f t="shared" si="4"/>
        <v>0</v>
      </c>
      <c r="U10" s="1018">
        <f t="shared" ref="U10:W10" si="6">U31+U65+U88+U111</f>
        <v>0</v>
      </c>
      <c r="V10" s="1018">
        <f t="shared" si="6"/>
        <v>0</v>
      </c>
      <c r="W10" s="1018">
        <f t="shared" si="6"/>
        <v>0</v>
      </c>
      <c r="X10" s="744">
        <f>SUM(P10:S10)</f>
        <v>0</v>
      </c>
      <c r="Y10" s="353"/>
    </row>
    <row r="11" spans="1:27" ht="17.25" customHeight="1">
      <c r="A11" s="727"/>
      <c r="B11" s="873" t="s">
        <v>22</v>
      </c>
      <c r="C11" s="545"/>
      <c r="D11" s="874">
        <f>D12+D14</f>
        <v>10388170</v>
      </c>
      <c r="E11" s="875">
        <f t="shared" ref="E11:N11" si="7">E12+E14</f>
        <v>0</v>
      </c>
      <c r="F11" s="875">
        <f t="shared" si="7"/>
        <v>0</v>
      </c>
      <c r="G11" s="875">
        <f t="shared" si="7"/>
        <v>0</v>
      </c>
      <c r="H11" s="875">
        <f t="shared" si="7"/>
        <v>0</v>
      </c>
      <c r="I11" s="875">
        <f t="shared" si="7"/>
        <v>0</v>
      </c>
      <c r="J11" s="875">
        <f t="shared" si="7"/>
        <v>0</v>
      </c>
      <c r="K11" s="875">
        <f t="shared" si="7"/>
        <v>646656</v>
      </c>
      <c r="L11" s="875">
        <f t="shared" si="7"/>
        <v>2305909</v>
      </c>
      <c r="M11" s="875">
        <f t="shared" si="7"/>
        <v>5208355</v>
      </c>
      <c r="N11" s="875">
        <f t="shared" si="7"/>
        <v>2730161</v>
      </c>
      <c r="O11" s="875">
        <f>O12+O14</f>
        <v>5171574</v>
      </c>
      <c r="P11" s="875">
        <f>P12+P14</f>
        <v>8241</v>
      </c>
      <c r="Q11" s="875">
        <f>Q12+Q14</f>
        <v>0</v>
      </c>
      <c r="R11" s="875">
        <f>R12+R14</f>
        <v>0</v>
      </c>
      <c r="S11" s="875">
        <f t="shared" ref="S11:T11" si="8">S12+S14</f>
        <v>0</v>
      </c>
      <c r="T11" s="875">
        <f t="shared" si="8"/>
        <v>0</v>
      </c>
      <c r="U11" s="875">
        <f t="shared" ref="U11:W11" si="9">U12+U14</f>
        <v>0</v>
      </c>
      <c r="V11" s="875">
        <f t="shared" si="9"/>
        <v>0</v>
      </c>
      <c r="W11" s="875">
        <f t="shared" si="9"/>
        <v>0</v>
      </c>
      <c r="X11" s="487">
        <f>P11+Q11+R11+S11</f>
        <v>8241</v>
      </c>
      <c r="Y11" s="672"/>
      <c r="Z11" s="876"/>
      <c r="AA11" s="876"/>
    </row>
    <row r="12" spans="1:27" ht="13.5" customHeight="1">
      <c r="A12" s="727"/>
      <c r="B12" s="877" t="s">
        <v>36</v>
      </c>
      <c r="C12" s="878"/>
      <c r="D12" s="879">
        <f>D13</f>
        <v>179260</v>
      </c>
      <c r="E12" s="879">
        <f t="shared" ref="E12:X12" si="10">+E13</f>
        <v>0</v>
      </c>
      <c r="F12" s="879">
        <f t="shared" si="10"/>
        <v>0</v>
      </c>
      <c r="G12" s="879">
        <f t="shared" si="10"/>
        <v>0</v>
      </c>
      <c r="H12" s="879">
        <f t="shared" si="10"/>
        <v>0</v>
      </c>
      <c r="I12" s="879">
        <f t="shared" si="10"/>
        <v>0</v>
      </c>
      <c r="J12" s="879">
        <f t="shared" si="10"/>
        <v>0</v>
      </c>
      <c r="K12" s="879">
        <f t="shared" si="10"/>
        <v>16424</v>
      </c>
      <c r="L12" s="879">
        <f t="shared" si="10"/>
        <v>53784</v>
      </c>
      <c r="M12" s="879">
        <f t="shared" si="10"/>
        <v>108848</v>
      </c>
      <c r="N12" s="879">
        <f t="shared" si="10"/>
        <v>40435</v>
      </c>
      <c r="O12" s="879">
        <f>+O13</f>
        <v>62171</v>
      </c>
      <c r="P12" s="879">
        <f t="shared" si="10"/>
        <v>8241</v>
      </c>
      <c r="Q12" s="879">
        <f t="shared" si="10"/>
        <v>0</v>
      </c>
      <c r="R12" s="879">
        <f t="shared" si="10"/>
        <v>0</v>
      </c>
      <c r="S12" s="879">
        <f t="shared" si="10"/>
        <v>0</v>
      </c>
      <c r="T12" s="879">
        <f t="shared" si="10"/>
        <v>0</v>
      </c>
      <c r="U12" s="879">
        <f t="shared" si="10"/>
        <v>0</v>
      </c>
      <c r="V12" s="879">
        <f t="shared" si="10"/>
        <v>0</v>
      </c>
      <c r="W12" s="879">
        <f t="shared" si="10"/>
        <v>0</v>
      </c>
      <c r="X12" s="815">
        <f t="shared" si="10"/>
        <v>8241</v>
      </c>
      <c r="Y12" s="1760"/>
    </row>
    <row r="13" spans="1:27" ht="13.5" customHeight="1">
      <c r="A13" s="727"/>
      <c r="B13" s="880" t="s">
        <v>24</v>
      </c>
      <c r="C13" s="881"/>
      <c r="D13" s="829">
        <f>D24+D42+D33+D58+D97+D113+D81</f>
        <v>179260</v>
      </c>
      <c r="E13" s="829">
        <f t="shared" ref="E13:N13" si="11">E24+E42+E33+E58+E97+E113+E81</f>
        <v>0</v>
      </c>
      <c r="F13" s="829">
        <f t="shared" si="11"/>
        <v>0</v>
      </c>
      <c r="G13" s="829">
        <f t="shared" si="11"/>
        <v>0</v>
      </c>
      <c r="H13" s="829">
        <f t="shared" si="11"/>
        <v>0</v>
      </c>
      <c r="I13" s="829">
        <f t="shared" si="11"/>
        <v>0</v>
      </c>
      <c r="J13" s="829">
        <f t="shared" si="11"/>
        <v>0</v>
      </c>
      <c r="K13" s="829">
        <f t="shared" si="11"/>
        <v>16424</v>
      </c>
      <c r="L13" s="829">
        <f t="shared" si="11"/>
        <v>53784</v>
      </c>
      <c r="M13" s="829">
        <f t="shared" si="11"/>
        <v>108848</v>
      </c>
      <c r="N13" s="829">
        <f t="shared" si="11"/>
        <v>40435</v>
      </c>
      <c r="O13" s="829">
        <f>O24+O42+O33+O58+O97+O113+O81</f>
        <v>62171</v>
      </c>
      <c r="P13" s="829">
        <f>P24+P42+P33+P58+P97+P113+P81</f>
        <v>8241</v>
      </c>
      <c r="Q13" s="829">
        <f t="shared" ref="Q13:T13" si="12">Q24+Q42+Q33</f>
        <v>0</v>
      </c>
      <c r="R13" s="829">
        <f t="shared" si="12"/>
        <v>0</v>
      </c>
      <c r="S13" s="829">
        <f t="shared" si="12"/>
        <v>0</v>
      </c>
      <c r="T13" s="829">
        <f t="shared" si="12"/>
        <v>0</v>
      </c>
      <c r="U13" s="829">
        <f t="shared" ref="U13:W13" si="13">U24+U42+U33</f>
        <v>0</v>
      </c>
      <c r="V13" s="829">
        <f t="shared" si="13"/>
        <v>0</v>
      </c>
      <c r="W13" s="829">
        <f t="shared" si="13"/>
        <v>0</v>
      </c>
      <c r="X13" s="377">
        <f>+P13+Q13+R13+S13</f>
        <v>8241</v>
      </c>
      <c r="Y13" s="1760"/>
      <c r="Z13" s="876"/>
    </row>
    <row r="14" spans="1:27" ht="13.5" customHeight="1">
      <c r="A14" s="727"/>
      <c r="B14" s="877" t="s">
        <v>30</v>
      </c>
      <c r="C14" s="878"/>
      <c r="D14" s="879">
        <f>+D15+D16</f>
        <v>10208910</v>
      </c>
      <c r="E14" s="879">
        <f t="shared" ref="E14:T14" si="14">+E15+E16</f>
        <v>0</v>
      </c>
      <c r="F14" s="879">
        <f t="shared" si="14"/>
        <v>0</v>
      </c>
      <c r="G14" s="879">
        <f t="shared" si="14"/>
        <v>0</v>
      </c>
      <c r="H14" s="879">
        <f t="shared" si="14"/>
        <v>0</v>
      </c>
      <c r="I14" s="879">
        <f t="shared" si="14"/>
        <v>0</v>
      </c>
      <c r="J14" s="879">
        <f t="shared" si="14"/>
        <v>0</v>
      </c>
      <c r="K14" s="879">
        <f t="shared" si="14"/>
        <v>630232</v>
      </c>
      <c r="L14" s="879">
        <f t="shared" si="14"/>
        <v>2252125</v>
      </c>
      <c r="M14" s="879">
        <f t="shared" si="14"/>
        <v>5099507</v>
      </c>
      <c r="N14" s="879">
        <f>+N15+N16</f>
        <v>2689726</v>
      </c>
      <c r="O14" s="879">
        <f>+O15+O16</f>
        <v>5109403</v>
      </c>
      <c r="P14" s="879">
        <f t="shared" si="14"/>
        <v>0</v>
      </c>
      <c r="Q14" s="879">
        <f t="shared" si="14"/>
        <v>0</v>
      </c>
      <c r="R14" s="879">
        <f t="shared" si="14"/>
        <v>0</v>
      </c>
      <c r="S14" s="879">
        <f t="shared" si="14"/>
        <v>0</v>
      </c>
      <c r="T14" s="879">
        <f t="shared" si="14"/>
        <v>0</v>
      </c>
      <c r="U14" s="879">
        <f t="shared" ref="U14:W14" si="15">+U15+U16</f>
        <v>0</v>
      </c>
      <c r="V14" s="879">
        <f t="shared" si="15"/>
        <v>0</v>
      </c>
      <c r="W14" s="879">
        <f t="shared" si="15"/>
        <v>0</v>
      </c>
      <c r="X14" s="815">
        <f>+X15</f>
        <v>0</v>
      </c>
      <c r="Y14" s="1760"/>
    </row>
    <row r="15" spans="1:27" ht="13.5" customHeight="1">
      <c r="A15" s="727"/>
      <c r="B15" s="880" t="s">
        <v>33</v>
      </c>
      <c r="C15" s="882"/>
      <c r="D15" s="728">
        <f>D44+D60+D67+D74+D83+D90+D99+D115</f>
        <v>10208910</v>
      </c>
      <c r="E15" s="728">
        <f t="shared" ref="E15:N15" si="16">E26+E44+E51+E60+E67+E74+E35+E83+E99+E106</f>
        <v>0</v>
      </c>
      <c r="F15" s="728">
        <f t="shared" si="16"/>
        <v>0</v>
      </c>
      <c r="G15" s="728">
        <f t="shared" si="16"/>
        <v>0</v>
      </c>
      <c r="H15" s="728">
        <f t="shared" si="16"/>
        <v>0</v>
      </c>
      <c r="I15" s="728">
        <f t="shared" si="16"/>
        <v>0</v>
      </c>
      <c r="J15" s="728">
        <f t="shared" si="16"/>
        <v>0</v>
      </c>
      <c r="K15" s="728">
        <f t="shared" si="16"/>
        <v>630232</v>
      </c>
      <c r="L15" s="728">
        <f t="shared" si="16"/>
        <v>2252125</v>
      </c>
      <c r="M15" s="728">
        <f t="shared" si="16"/>
        <v>5099507</v>
      </c>
      <c r="N15" s="728">
        <f t="shared" si="16"/>
        <v>2689726</v>
      </c>
      <c r="O15" s="728">
        <f>O26+O44+O51+O60+O67+O74+O35+O83+O99+O106+O90+O115</f>
        <v>5109403</v>
      </c>
      <c r="P15" s="728">
        <f>P26+P44+P51+P60+P67+P74+P35+P83+P99+P106</f>
        <v>0</v>
      </c>
      <c r="Q15" s="728">
        <f>Q26+Q44+Q51+Q60+Q67+Q74+Q35+Q83+Q99+Q106</f>
        <v>0</v>
      </c>
      <c r="R15" s="728">
        <f>R26+R44+R51+R60+R67+R74+R35+R83+R99+R106</f>
        <v>0</v>
      </c>
      <c r="S15" s="728">
        <f>S26+S44+S51+S60+S67+S74+S35+S83+S99+S106</f>
        <v>0</v>
      </c>
      <c r="T15" s="728">
        <f>T26+T44+T51+T60+T67+T74+T35+T83+T99+T106</f>
        <v>0</v>
      </c>
      <c r="U15" s="728">
        <f t="shared" ref="U15:W15" si="17">U26+U44+U51+U60+U67+U74+U35+U83+U99+U106</f>
        <v>0</v>
      </c>
      <c r="V15" s="728">
        <f t="shared" si="17"/>
        <v>0</v>
      </c>
      <c r="W15" s="728">
        <f t="shared" si="17"/>
        <v>0</v>
      </c>
      <c r="X15" s="377">
        <f>+P15+Q15+R15+S15</f>
        <v>0</v>
      </c>
      <c r="Y15" s="1760"/>
    </row>
    <row r="16" spans="1:27" ht="13.5" hidden="1" customHeight="1">
      <c r="A16" s="727"/>
      <c r="B16" s="1768" t="s">
        <v>32</v>
      </c>
      <c r="C16" s="1772"/>
      <c r="D16" s="728">
        <f>+N16+O16</f>
        <v>0</v>
      </c>
      <c r="E16" s="728">
        <f t="shared" ref="E16:R16" si="18">+E106</f>
        <v>0</v>
      </c>
      <c r="F16" s="728">
        <f t="shared" si="18"/>
        <v>0</v>
      </c>
      <c r="G16" s="728">
        <f t="shared" si="18"/>
        <v>0</v>
      </c>
      <c r="H16" s="728">
        <f t="shared" si="18"/>
        <v>0</v>
      </c>
      <c r="I16" s="728">
        <f t="shared" si="18"/>
        <v>0</v>
      </c>
      <c r="J16" s="728">
        <f t="shared" si="18"/>
        <v>0</v>
      </c>
      <c r="K16" s="728">
        <f t="shared" si="18"/>
        <v>0</v>
      </c>
      <c r="L16" s="728">
        <f t="shared" si="18"/>
        <v>0</v>
      </c>
      <c r="M16" s="728"/>
      <c r="N16" s="728">
        <f t="shared" si="18"/>
        <v>0</v>
      </c>
      <c r="O16" s="728">
        <f t="shared" si="18"/>
        <v>0</v>
      </c>
      <c r="P16" s="728">
        <f t="shared" si="18"/>
        <v>0</v>
      </c>
      <c r="Q16" s="728">
        <f t="shared" si="18"/>
        <v>0</v>
      </c>
      <c r="R16" s="728">
        <f t="shared" si="18"/>
        <v>0</v>
      </c>
      <c r="S16" s="728"/>
      <c r="T16" s="728"/>
      <c r="U16" s="728"/>
      <c r="V16" s="728"/>
      <c r="W16" s="728"/>
      <c r="X16" s="377"/>
      <c r="Y16" s="1760"/>
    </row>
    <row r="17" spans="1:28" ht="18.75" customHeight="1">
      <c r="A17" s="727"/>
      <c r="B17" s="873" t="s">
        <v>34</v>
      </c>
      <c r="C17" s="382"/>
      <c r="D17" s="874">
        <f t="shared" ref="D17:S18" si="19">D18</f>
        <v>10194080</v>
      </c>
      <c r="E17" s="875">
        <f t="shared" si="19"/>
        <v>0</v>
      </c>
      <c r="F17" s="875">
        <f t="shared" si="19"/>
        <v>0</v>
      </c>
      <c r="G17" s="875">
        <f t="shared" si="19"/>
        <v>0</v>
      </c>
      <c r="H17" s="875">
        <f t="shared" si="19"/>
        <v>0</v>
      </c>
      <c r="I17" s="875">
        <f t="shared" si="19"/>
        <v>0</v>
      </c>
      <c r="J17" s="875">
        <f t="shared" si="19"/>
        <v>0</v>
      </c>
      <c r="K17" s="875">
        <f t="shared" si="19"/>
        <v>85912</v>
      </c>
      <c r="L17" s="875">
        <f t="shared" si="19"/>
        <v>1249235</v>
      </c>
      <c r="M17" s="875">
        <f t="shared" si="19"/>
        <v>3366917</v>
      </c>
      <c r="N17" s="875">
        <f t="shared" si="19"/>
        <v>2389985</v>
      </c>
      <c r="O17" s="875">
        <f t="shared" si="19"/>
        <v>6286685</v>
      </c>
      <c r="P17" s="875">
        <f t="shared" si="19"/>
        <v>540478</v>
      </c>
      <c r="Q17" s="875">
        <f t="shared" si="19"/>
        <v>0</v>
      </c>
      <c r="R17" s="875">
        <f t="shared" si="19"/>
        <v>0</v>
      </c>
      <c r="S17" s="875">
        <f t="shared" si="19"/>
        <v>0</v>
      </c>
      <c r="T17" s="875">
        <f t="shared" ref="T17:W18" si="20">T18</f>
        <v>0</v>
      </c>
      <c r="U17" s="875">
        <f t="shared" si="20"/>
        <v>0</v>
      </c>
      <c r="V17" s="875">
        <f t="shared" si="20"/>
        <v>0</v>
      </c>
      <c r="W17" s="875">
        <f t="shared" si="20"/>
        <v>0</v>
      </c>
      <c r="X17" s="4002" t="s">
        <v>77</v>
      </c>
      <c r="Y17" s="1760"/>
    </row>
    <row r="18" spans="1:28" ht="13.5" customHeight="1">
      <c r="A18" s="727"/>
      <c r="B18" s="877" t="s">
        <v>30</v>
      </c>
      <c r="C18" s="882"/>
      <c r="D18" s="1060">
        <f>+D19+D20</f>
        <v>10194080</v>
      </c>
      <c r="E18" s="1060">
        <f t="shared" si="19"/>
        <v>0</v>
      </c>
      <c r="F18" s="1060">
        <f t="shared" si="19"/>
        <v>0</v>
      </c>
      <c r="G18" s="1060">
        <f t="shared" si="19"/>
        <v>0</v>
      </c>
      <c r="H18" s="1060">
        <f t="shared" si="19"/>
        <v>0</v>
      </c>
      <c r="I18" s="1060">
        <f t="shared" si="19"/>
        <v>0</v>
      </c>
      <c r="J18" s="1060">
        <f t="shared" si="19"/>
        <v>0</v>
      </c>
      <c r="K18" s="1060">
        <f t="shared" si="19"/>
        <v>85912</v>
      </c>
      <c r="L18" s="1060">
        <f t="shared" si="19"/>
        <v>1249235</v>
      </c>
      <c r="M18" s="1060">
        <f t="shared" si="19"/>
        <v>3366917</v>
      </c>
      <c r="N18" s="1060">
        <f t="shared" si="19"/>
        <v>2389985</v>
      </c>
      <c r="O18" s="1060">
        <f t="shared" si="19"/>
        <v>6286685</v>
      </c>
      <c r="P18" s="1060">
        <f t="shared" si="19"/>
        <v>540478</v>
      </c>
      <c r="Q18" s="1060">
        <f t="shared" si="19"/>
        <v>0</v>
      </c>
      <c r="R18" s="1060">
        <f t="shared" si="19"/>
        <v>0</v>
      </c>
      <c r="S18" s="1060">
        <f t="shared" si="19"/>
        <v>0</v>
      </c>
      <c r="T18" s="1060">
        <f t="shared" si="20"/>
        <v>0</v>
      </c>
      <c r="U18" s="1060">
        <f t="shared" si="20"/>
        <v>0</v>
      </c>
      <c r="V18" s="1060">
        <f t="shared" si="20"/>
        <v>0</v>
      </c>
      <c r="W18" s="1060">
        <f t="shared" si="20"/>
        <v>0</v>
      </c>
      <c r="X18" s="4003"/>
      <c r="Y18" s="1760"/>
    </row>
    <row r="19" spans="1:28" ht="13.5" customHeight="1" thickBot="1">
      <c r="A19" s="727"/>
      <c r="B19" s="880" t="s">
        <v>33</v>
      </c>
      <c r="C19" s="882"/>
      <c r="D19" s="728">
        <f>D29+D47+D54+D63+D70+D38+D77+D86+D102+D109+D93+D118</f>
        <v>10194080</v>
      </c>
      <c r="E19" s="728">
        <f t="shared" ref="E19:N19" si="21">E29+E47+E54+E63+E70+E38+E77+E86+E102+E109</f>
        <v>0</v>
      </c>
      <c r="F19" s="728">
        <f t="shared" si="21"/>
        <v>0</v>
      </c>
      <c r="G19" s="728">
        <f t="shared" si="21"/>
        <v>0</v>
      </c>
      <c r="H19" s="728">
        <f t="shared" si="21"/>
        <v>0</v>
      </c>
      <c r="I19" s="728">
        <f t="shared" si="21"/>
        <v>0</v>
      </c>
      <c r="J19" s="728">
        <f t="shared" si="21"/>
        <v>0</v>
      </c>
      <c r="K19" s="728">
        <f t="shared" si="21"/>
        <v>85912</v>
      </c>
      <c r="L19" s="728">
        <f t="shared" si="21"/>
        <v>1249235</v>
      </c>
      <c r="M19" s="728">
        <f>M29+M47+M54+M63+M70+M38+M77+M86+M102+M109</f>
        <v>3366917</v>
      </c>
      <c r="N19" s="728">
        <f t="shared" si="21"/>
        <v>2389985</v>
      </c>
      <c r="O19" s="728">
        <f>O29+O47+O54+O63+O70+O38+O77+O86+O102+O109+O93+O118</f>
        <v>6286685</v>
      </c>
      <c r="P19" s="728">
        <f>P29+P47+P54+P63+P70+P38+P77+P86+P102+P109</f>
        <v>540478</v>
      </c>
      <c r="Q19" s="728">
        <f>Q29+Q47+Q54+Q63+Q70+Q38+Q77+Q86+Q102+Q109</f>
        <v>0</v>
      </c>
      <c r="R19" s="728">
        <f>R29+R47+R54+R63+R70+R38+R77+R86+R102+R109</f>
        <v>0</v>
      </c>
      <c r="S19" s="728">
        <f>S29+S47+S54+S63+S70+S38+S77+S86+S102+S109</f>
        <v>0</v>
      </c>
      <c r="T19" s="728">
        <f>T29+T47+T54+T63+T70+T38+T77+T86+T102+T109</f>
        <v>0</v>
      </c>
      <c r="U19" s="728">
        <f t="shared" ref="U19:W19" si="22">U29+U47+U54+U63+U70+U38+U77+U86+U102+U109</f>
        <v>0</v>
      </c>
      <c r="V19" s="728">
        <f t="shared" si="22"/>
        <v>0</v>
      </c>
      <c r="W19" s="728">
        <f t="shared" si="22"/>
        <v>0</v>
      </c>
      <c r="X19" s="4003"/>
      <c r="Y19" s="1760"/>
      <c r="Z19" s="876">
        <f>D19-D15</f>
        <v>-14830</v>
      </c>
    </row>
    <row r="20" spans="1:28" ht="13.5" hidden="1" customHeight="1" thickBot="1">
      <c r="A20" s="883"/>
      <c r="B20" s="1618" t="s">
        <v>32</v>
      </c>
      <c r="C20" s="1618"/>
      <c r="D20" s="1618">
        <f>+N20+O20</f>
        <v>0</v>
      </c>
      <c r="E20" s="1618">
        <f t="shared" ref="E20:R20" si="23">+E109</f>
        <v>0</v>
      </c>
      <c r="F20" s="1618">
        <f t="shared" si="23"/>
        <v>0</v>
      </c>
      <c r="G20" s="1618">
        <f t="shared" si="23"/>
        <v>0</v>
      </c>
      <c r="H20" s="1618">
        <f t="shared" si="23"/>
        <v>0</v>
      </c>
      <c r="I20" s="1618">
        <f t="shared" si="23"/>
        <v>0</v>
      </c>
      <c r="J20" s="1618">
        <f t="shared" si="23"/>
        <v>0</v>
      </c>
      <c r="K20" s="1618">
        <f t="shared" si="23"/>
        <v>0</v>
      </c>
      <c r="L20" s="1618">
        <f t="shared" si="23"/>
        <v>0</v>
      </c>
      <c r="M20" s="1618"/>
      <c r="N20" s="1618">
        <f t="shared" si="23"/>
        <v>0</v>
      </c>
      <c r="O20" s="1618">
        <f t="shared" si="23"/>
        <v>0</v>
      </c>
      <c r="P20" s="1618">
        <f t="shared" si="23"/>
        <v>0</v>
      </c>
      <c r="Q20" s="1618">
        <f t="shared" si="23"/>
        <v>0</v>
      </c>
      <c r="R20" s="1618">
        <f t="shared" si="23"/>
        <v>0</v>
      </c>
      <c r="S20" s="1618"/>
      <c r="T20" s="1618"/>
      <c r="U20" s="1618"/>
      <c r="V20" s="1618"/>
      <c r="W20" s="1165"/>
      <c r="X20" s="4004"/>
      <c r="Y20" s="1760"/>
    </row>
    <row r="21" spans="1:28" ht="42" hidden="1" customHeight="1">
      <c r="A21" s="4344" t="s">
        <v>79</v>
      </c>
      <c r="B21" s="1244" t="s">
        <v>470</v>
      </c>
      <c r="C21" s="1668" t="s">
        <v>131</v>
      </c>
      <c r="D21" s="846"/>
      <c r="E21" s="775"/>
      <c r="F21" s="775"/>
      <c r="G21" s="775"/>
      <c r="H21" s="775"/>
      <c r="I21" s="775"/>
      <c r="J21" s="775"/>
      <c r="K21" s="775"/>
      <c r="L21" s="836"/>
      <c r="M21" s="836"/>
      <c r="N21" s="836"/>
      <c r="O21" s="836"/>
      <c r="P21" s="837"/>
      <c r="Q21" s="837"/>
      <c r="R21" s="837"/>
      <c r="S21" s="837"/>
      <c r="T21" s="836"/>
      <c r="U21" s="836"/>
      <c r="V21" s="836"/>
      <c r="W21" s="836"/>
      <c r="X21" s="838"/>
      <c r="Y21" s="4390" t="s">
        <v>408</v>
      </c>
    </row>
    <row r="22" spans="1:28" ht="17.25" hidden="1" customHeight="1">
      <c r="A22" s="4345"/>
      <c r="B22" s="406" t="s">
        <v>22</v>
      </c>
      <c r="C22" s="382"/>
      <c r="D22" s="471">
        <f t="shared" ref="D22:M22" si="24">+D23+D25</f>
        <v>0</v>
      </c>
      <c r="E22" s="450">
        <f t="shared" si="24"/>
        <v>0</v>
      </c>
      <c r="F22" s="450">
        <f t="shared" si="24"/>
        <v>0</v>
      </c>
      <c r="G22" s="450">
        <f t="shared" si="24"/>
        <v>0</v>
      </c>
      <c r="H22" s="450">
        <f t="shared" si="24"/>
        <v>0</v>
      </c>
      <c r="I22" s="450">
        <f t="shared" si="24"/>
        <v>0</v>
      </c>
      <c r="J22" s="450">
        <f t="shared" si="24"/>
        <v>0</v>
      </c>
      <c r="K22" s="450">
        <f t="shared" si="24"/>
        <v>0</v>
      </c>
      <c r="L22" s="450">
        <f t="shared" si="24"/>
        <v>0</v>
      </c>
      <c r="M22" s="450">
        <f t="shared" si="24"/>
        <v>0</v>
      </c>
      <c r="N22" s="450">
        <f>+N23+N25</f>
        <v>0</v>
      </c>
      <c r="O22" s="450">
        <f t="shared" ref="O22" si="25">+O23+O25</f>
        <v>0</v>
      </c>
      <c r="P22" s="450">
        <f t="shared" ref="P22:T22" si="26">+P23+P25</f>
        <v>0</v>
      </c>
      <c r="Q22" s="450">
        <f t="shared" si="26"/>
        <v>0</v>
      </c>
      <c r="R22" s="450">
        <f t="shared" si="26"/>
        <v>0</v>
      </c>
      <c r="S22" s="450">
        <f t="shared" si="26"/>
        <v>0</v>
      </c>
      <c r="T22" s="450">
        <f t="shared" si="26"/>
        <v>0</v>
      </c>
      <c r="U22" s="450">
        <f>U23+U25</f>
        <v>0</v>
      </c>
      <c r="V22" s="450">
        <f t="shared" ref="V22:W22" si="27">V23+V25</f>
        <v>0</v>
      </c>
      <c r="W22" s="450">
        <f t="shared" si="27"/>
        <v>0</v>
      </c>
      <c r="X22" s="487">
        <f>+X23+X25</f>
        <v>0</v>
      </c>
      <c r="Y22" s="4639"/>
      <c r="Z22" s="876"/>
      <c r="AA22" s="876"/>
    </row>
    <row r="23" spans="1:28" ht="14.25" hidden="1" customHeight="1">
      <c r="A23" s="4345"/>
      <c r="B23" s="452" t="s">
        <v>36</v>
      </c>
      <c r="C23" s="4129" t="s">
        <v>264</v>
      </c>
      <c r="D23" s="518">
        <f>+D24</f>
        <v>0</v>
      </c>
      <c r="E23" s="518">
        <f t="shared" ref="E23:J23" si="28">+E24</f>
        <v>0</v>
      </c>
      <c r="F23" s="518">
        <f t="shared" si="28"/>
        <v>0</v>
      </c>
      <c r="G23" s="518">
        <f t="shared" si="28"/>
        <v>0</v>
      </c>
      <c r="H23" s="518">
        <f t="shared" si="28"/>
        <v>0</v>
      </c>
      <c r="I23" s="518">
        <f t="shared" si="28"/>
        <v>0</v>
      </c>
      <c r="J23" s="518">
        <f t="shared" si="28"/>
        <v>0</v>
      </c>
      <c r="K23" s="884">
        <f>+K24</f>
        <v>0</v>
      </c>
      <c r="L23" s="885">
        <f>+L24</f>
        <v>0</v>
      </c>
      <c r="M23" s="885">
        <f>+M24</f>
        <v>0</v>
      </c>
      <c r="N23" s="885">
        <f>+N24</f>
        <v>0</v>
      </c>
      <c r="O23" s="518">
        <f t="shared" ref="O23:W23" si="29">+O24</f>
        <v>0</v>
      </c>
      <c r="P23" s="518">
        <f t="shared" si="29"/>
        <v>0</v>
      </c>
      <c r="Q23" s="518">
        <f t="shared" si="29"/>
        <v>0</v>
      </c>
      <c r="R23" s="518">
        <f t="shared" si="29"/>
        <v>0</v>
      </c>
      <c r="S23" s="518">
        <f t="shared" si="29"/>
        <v>0</v>
      </c>
      <c r="T23" s="518">
        <f t="shared" si="29"/>
        <v>0</v>
      </c>
      <c r="U23" s="518">
        <f t="shared" si="29"/>
        <v>0</v>
      </c>
      <c r="V23" s="518">
        <f t="shared" si="29"/>
        <v>0</v>
      </c>
      <c r="W23" s="518">
        <f t="shared" si="29"/>
        <v>0</v>
      </c>
      <c r="X23" s="372">
        <f>+X24</f>
        <v>0</v>
      </c>
      <c r="Y23" s="4640"/>
      <c r="AA23" s="876"/>
      <c r="AB23" s="876"/>
    </row>
    <row r="24" spans="1:28" ht="13.5" hidden="1" customHeight="1">
      <c r="A24" s="4345"/>
      <c r="B24" s="491" t="s">
        <v>24</v>
      </c>
      <c r="C24" s="4130"/>
      <c r="D24" s="473">
        <f>+M24+O24+P24+Q24+R24+S24+T24+U24+V24+W24</f>
        <v>0</v>
      </c>
      <c r="E24" s="463">
        <v>0</v>
      </c>
      <c r="F24" s="464"/>
      <c r="G24" s="464"/>
      <c r="H24" s="463"/>
      <c r="I24" s="463">
        <v>0</v>
      </c>
      <c r="J24" s="463">
        <v>0</v>
      </c>
      <c r="K24" s="463">
        <v>0</v>
      </c>
      <c r="L24" s="463">
        <v>0</v>
      </c>
      <c r="M24" s="463">
        <v>0</v>
      </c>
      <c r="N24" s="463"/>
      <c r="O24" s="463">
        <v>0</v>
      </c>
      <c r="P24" s="463">
        <v>0</v>
      </c>
      <c r="Q24" s="463">
        <v>0</v>
      </c>
      <c r="R24" s="463">
        <v>0</v>
      </c>
      <c r="S24" s="463">
        <v>0</v>
      </c>
      <c r="T24" s="463">
        <v>0</v>
      </c>
      <c r="U24" s="463">
        <v>0</v>
      </c>
      <c r="V24" s="463">
        <v>0</v>
      </c>
      <c r="W24" s="463">
        <v>0</v>
      </c>
      <c r="X24" s="377">
        <f>+P24+Q24+R24+S24</f>
        <v>0</v>
      </c>
      <c r="Y24" s="4640"/>
    </row>
    <row r="25" spans="1:28" ht="14.25" hidden="1" customHeight="1">
      <c r="A25" s="4345"/>
      <c r="B25" s="465" t="s">
        <v>30</v>
      </c>
      <c r="C25" s="4130"/>
      <c r="D25" s="466">
        <f t="shared" ref="D25:X25" si="30">+D26</f>
        <v>0</v>
      </c>
      <c r="E25" s="467">
        <f t="shared" si="30"/>
        <v>0</v>
      </c>
      <c r="F25" s="467">
        <f t="shared" si="30"/>
        <v>0</v>
      </c>
      <c r="G25" s="467">
        <f t="shared" si="30"/>
        <v>0</v>
      </c>
      <c r="H25" s="467">
        <f t="shared" si="30"/>
        <v>0</v>
      </c>
      <c r="I25" s="571">
        <f t="shared" si="30"/>
        <v>0</v>
      </c>
      <c r="J25" s="571">
        <f t="shared" si="30"/>
        <v>0</v>
      </c>
      <c r="K25" s="571">
        <f t="shared" si="30"/>
        <v>0</v>
      </c>
      <c r="L25" s="886">
        <f t="shared" si="30"/>
        <v>0</v>
      </c>
      <c r="M25" s="886">
        <f t="shared" si="30"/>
        <v>0</v>
      </c>
      <c r="N25" s="886">
        <f t="shared" si="30"/>
        <v>0</v>
      </c>
      <c r="O25" s="571">
        <f t="shared" ref="O25:W25" si="31">+O26</f>
        <v>0</v>
      </c>
      <c r="P25" s="571">
        <f t="shared" si="31"/>
        <v>0</v>
      </c>
      <c r="Q25" s="571">
        <f t="shared" si="31"/>
        <v>0</v>
      </c>
      <c r="R25" s="571">
        <f t="shared" si="31"/>
        <v>0</v>
      </c>
      <c r="S25" s="571">
        <f t="shared" si="31"/>
        <v>0</v>
      </c>
      <c r="T25" s="571">
        <f t="shared" si="31"/>
        <v>0</v>
      </c>
      <c r="U25" s="571">
        <f t="shared" si="31"/>
        <v>0</v>
      </c>
      <c r="V25" s="571">
        <f t="shared" si="31"/>
        <v>0</v>
      </c>
      <c r="W25" s="571">
        <f t="shared" si="31"/>
        <v>0</v>
      </c>
      <c r="X25" s="509">
        <f t="shared" si="30"/>
        <v>0</v>
      </c>
      <c r="Y25" s="4640"/>
    </row>
    <row r="26" spans="1:28" ht="12" hidden="1" customHeight="1">
      <c r="A26" s="4345"/>
      <c r="B26" s="1669" t="s">
        <v>33</v>
      </c>
      <c r="C26" s="4675"/>
      <c r="D26" s="473">
        <f>+M26+O26+P26+Q26+R26+S26+T26+U26+V26+W26</f>
        <v>0</v>
      </c>
      <c r="E26" s="461">
        <v>0</v>
      </c>
      <c r="F26" s="1768">
        <v>0</v>
      </c>
      <c r="G26" s="1768"/>
      <c r="H26" s="461"/>
      <c r="I26" s="461">
        <v>0</v>
      </c>
      <c r="J26" s="461">
        <v>0</v>
      </c>
      <c r="K26" s="461">
        <v>0</v>
      </c>
      <c r="L26" s="461">
        <v>0</v>
      </c>
      <c r="M26" s="463">
        <v>0</v>
      </c>
      <c r="N26" s="461"/>
      <c r="O26" s="461">
        <v>0</v>
      </c>
      <c r="P26" s="461">
        <v>0</v>
      </c>
      <c r="Q26" s="461">
        <v>0</v>
      </c>
      <c r="R26" s="461">
        <v>0</v>
      </c>
      <c r="S26" s="461">
        <v>0</v>
      </c>
      <c r="T26" s="461">
        <v>0</v>
      </c>
      <c r="U26" s="461">
        <v>0</v>
      </c>
      <c r="V26" s="461">
        <v>0</v>
      </c>
      <c r="W26" s="461">
        <v>0</v>
      </c>
      <c r="X26" s="377">
        <f>+P26+Q26+R26+S26</f>
        <v>0</v>
      </c>
      <c r="Y26" s="4640"/>
    </row>
    <row r="27" spans="1:28" ht="14.25" hidden="1" customHeight="1">
      <c r="A27" s="4345"/>
      <c r="B27" s="381" t="s">
        <v>34</v>
      </c>
      <c r="C27" s="845"/>
      <c r="D27" s="471">
        <f>+D28</f>
        <v>0</v>
      </c>
      <c r="E27" s="450">
        <f t="shared" ref="E27:U28" si="32">+E28</f>
        <v>0</v>
      </c>
      <c r="F27" s="450">
        <f t="shared" si="32"/>
        <v>0</v>
      </c>
      <c r="G27" s="450">
        <f t="shared" si="32"/>
        <v>0</v>
      </c>
      <c r="H27" s="450">
        <f t="shared" si="32"/>
        <v>0</v>
      </c>
      <c r="I27" s="450">
        <f t="shared" si="32"/>
        <v>0</v>
      </c>
      <c r="J27" s="450">
        <f t="shared" si="32"/>
        <v>0</v>
      </c>
      <c r="K27" s="450">
        <f t="shared" si="32"/>
        <v>0</v>
      </c>
      <c r="L27" s="450">
        <f t="shared" si="32"/>
        <v>0</v>
      </c>
      <c r="M27" s="450">
        <f t="shared" si="32"/>
        <v>0</v>
      </c>
      <c r="N27" s="450">
        <f t="shared" si="32"/>
        <v>0</v>
      </c>
      <c r="O27" s="450">
        <f t="shared" si="32"/>
        <v>0</v>
      </c>
      <c r="P27" s="450">
        <f t="shared" si="32"/>
        <v>0</v>
      </c>
      <c r="Q27" s="450">
        <f t="shared" si="32"/>
        <v>0</v>
      </c>
      <c r="R27" s="450">
        <f t="shared" si="32"/>
        <v>0</v>
      </c>
      <c r="S27" s="450">
        <f t="shared" si="32"/>
        <v>0</v>
      </c>
      <c r="T27" s="450">
        <f t="shared" si="32"/>
        <v>0</v>
      </c>
      <c r="U27" s="450">
        <f t="shared" si="32"/>
        <v>0</v>
      </c>
      <c r="V27" s="450">
        <f t="shared" ref="V27:W27" si="33">+V28</f>
        <v>0</v>
      </c>
      <c r="W27" s="450">
        <f t="shared" si="33"/>
        <v>0</v>
      </c>
      <c r="X27" s="4002" t="s">
        <v>77</v>
      </c>
      <c r="Y27" s="4640"/>
    </row>
    <row r="28" spans="1:28" ht="14.25" hidden="1" customHeight="1">
      <c r="A28" s="4345"/>
      <c r="B28" s="525" t="s">
        <v>30</v>
      </c>
      <c r="C28" s="4676" t="s">
        <v>265</v>
      </c>
      <c r="D28" s="466">
        <f>+D29</f>
        <v>0</v>
      </c>
      <c r="E28" s="467">
        <f t="shared" si="32"/>
        <v>0</v>
      </c>
      <c r="F28" s="467">
        <f t="shared" si="32"/>
        <v>0</v>
      </c>
      <c r="G28" s="467">
        <f t="shared" si="32"/>
        <v>0</v>
      </c>
      <c r="H28" s="467">
        <f t="shared" si="32"/>
        <v>0</v>
      </c>
      <c r="I28" s="467">
        <f t="shared" si="32"/>
        <v>0</v>
      </c>
      <c r="J28" s="467">
        <f t="shared" si="32"/>
        <v>0</v>
      </c>
      <c r="K28" s="467">
        <f t="shared" si="32"/>
        <v>0</v>
      </c>
      <c r="L28" s="467">
        <f t="shared" si="32"/>
        <v>0</v>
      </c>
      <c r="M28" s="467">
        <f t="shared" si="32"/>
        <v>0</v>
      </c>
      <c r="N28" s="467">
        <f t="shared" si="32"/>
        <v>0</v>
      </c>
      <c r="O28" s="467">
        <f t="shared" si="32"/>
        <v>0</v>
      </c>
      <c r="P28" s="467">
        <f t="shared" si="32"/>
        <v>0</v>
      </c>
      <c r="Q28" s="467">
        <f t="shared" si="32"/>
        <v>0</v>
      </c>
      <c r="R28" s="467">
        <f t="shared" si="32"/>
        <v>0</v>
      </c>
      <c r="S28" s="467">
        <f t="shared" si="32"/>
        <v>0</v>
      </c>
      <c r="T28" s="467">
        <f t="shared" si="32"/>
        <v>0</v>
      </c>
      <c r="U28" s="467">
        <f t="shared" si="32"/>
        <v>0</v>
      </c>
      <c r="V28" s="467">
        <f t="shared" ref="V28:W28" si="34">+V29</f>
        <v>0</v>
      </c>
      <c r="W28" s="467">
        <f t="shared" si="34"/>
        <v>0</v>
      </c>
      <c r="X28" s="4003"/>
      <c r="Y28" s="4640"/>
    </row>
    <row r="29" spans="1:28" s="887" customFormat="1" ht="15.75" hidden="1" customHeight="1" thickBot="1">
      <c r="A29" s="4346"/>
      <c r="B29" s="1670" t="s">
        <v>33</v>
      </c>
      <c r="C29" s="4677"/>
      <c r="D29" s="473">
        <f>+M29+O29+P29+Q29+R29+S29+T29+U29+V29+W29</f>
        <v>0</v>
      </c>
      <c r="E29" s="461"/>
      <c r="F29" s="1419"/>
      <c r="G29" s="1419"/>
      <c r="H29" s="461"/>
      <c r="I29" s="461">
        <v>0</v>
      </c>
      <c r="J29" s="461">
        <v>0</v>
      </c>
      <c r="K29" s="461">
        <v>0</v>
      </c>
      <c r="L29" s="461">
        <v>0</v>
      </c>
      <c r="M29" s="463">
        <v>0</v>
      </c>
      <c r="N29" s="461"/>
      <c r="O29" s="461">
        <v>0</v>
      </c>
      <c r="P29" s="498">
        <v>0</v>
      </c>
      <c r="Q29" s="498">
        <v>0</v>
      </c>
      <c r="R29" s="498">
        <v>0</v>
      </c>
      <c r="S29" s="498">
        <v>0</v>
      </c>
      <c r="T29" s="498">
        <v>0</v>
      </c>
      <c r="U29" s="498">
        <v>0</v>
      </c>
      <c r="V29" s="498">
        <v>0</v>
      </c>
      <c r="W29" s="498">
        <v>0</v>
      </c>
      <c r="X29" s="4003"/>
      <c r="Y29" s="4356"/>
      <c r="AA29" s="888"/>
    </row>
    <row r="30" spans="1:28" ht="42.75" hidden="1" customHeight="1">
      <c r="A30" s="4672" t="s">
        <v>80</v>
      </c>
      <c r="B30" s="833" t="s">
        <v>514</v>
      </c>
      <c r="C30" s="1766" t="s">
        <v>98</v>
      </c>
      <c r="D30" s="846"/>
      <c r="E30" s="775"/>
      <c r="F30" s="775"/>
      <c r="G30" s="775"/>
      <c r="H30" s="775"/>
      <c r="I30" s="775"/>
      <c r="J30" s="775"/>
      <c r="K30" s="775"/>
      <c r="L30" s="836"/>
      <c r="M30" s="836"/>
      <c r="N30" s="836"/>
      <c r="O30" s="836"/>
      <c r="P30" s="837"/>
      <c r="Q30" s="837"/>
      <c r="R30" s="837"/>
      <c r="S30" s="837"/>
      <c r="T30" s="836"/>
      <c r="U30" s="836"/>
      <c r="V30" s="836"/>
      <c r="W30" s="836"/>
      <c r="X30" s="838"/>
      <c r="Y30" s="4390" t="s">
        <v>408</v>
      </c>
    </row>
    <row r="31" spans="1:28" ht="15.75" hidden="1" customHeight="1">
      <c r="A31" s="4673"/>
      <c r="B31" s="406" t="s">
        <v>22</v>
      </c>
      <c r="C31" s="382"/>
      <c r="D31" s="471">
        <f t="shared" ref="D31:M31" si="35">+D32+D34</f>
        <v>0</v>
      </c>
      <c r="E31" s="450">
        <f t="shared" si="35"/>
        <v>0</v>
      </c>
      <c r="F31" s="450">
        <f t="shared" si="35"/>
        <v>0</v>
      </c>
      <c r="G31" s="450">
        <f t="shared" si="35"/>
        <v>0</v>
      </c>
      <c r="H31" s="450">
        <f t="shared" si="35"/>
        <v>0</v>
      </c>
      <c r="I31" s="450">
        <f t="shared" si="35"/>
        <v>0</v>
      </c>
      <c r="J31" s="450">
        <f t="shared" si="35"/>
        <v>0</v>
      </c>
      <c r="K31" s="450">
        <f t="shared" si="35"/>
        <v>0</v>
      </c>
      <c r="L31" s="450">
        <f t="shared" si="35"/>
        <v>0</v>
      </c>
      <c r="M31" s="450">
        <f t="shared" si="35"/>
        <v>0</v>
      </c>
      <c r="N31" s="450">
        <f>+N32+N34</f>
        <v>0</v>
      </c>
      <c r="O31" s="450">
        <f t="shared" ref="O31" si="36">+O32+O34</f>
        <v>0</v>
      </c>
      <c r="P31" s="450">
        <f t="shared" ref="P31:W31" si="37">+P32+P34</f>
        <v>0</v>
      </c>
      <c r="Q31" s="450">
        <f t="shared" si="37"/>
        <v>0</v>
      </c>
      <c r="R31" s="450">
        <f t="shared" si="37"/>
        <v>0</v>
      </c>
      <c r="S31" s="450">
        <f t="shared" si="37"/>
        <v>0</v>
      </c>
      <c r="T31" s="450">
        <f t="shared" si="37"/>
        <v>0</v>
      </c>
      <c r="U31" s="450">
        <f t="shared" si="37"/>
        <v>0</v>
      </c>
      <c r="V31" s="450">
        <f t="shared" si="37"/>
        <v>0</v>
      </c>
      <c r="W31" s="450">
        <f t="shared" si="37"/>
        <v>0</v>
      </c>
      <c r="X31" s="487">
        <f>+X32+X34</f>
        <v>0</v>
      </c>
      <c r="Y31" s="4639"/>
    </row>
    <row r="32" spans="1:28" ht="15.75" hidden="1" customHeight="1">
      <c r="A32" s="4673"/>
      <c r="B32" s="452" t="s">
        <v>36</v>
      </c>
      <c r="C32" s="4129" t="s">
        <v>264</v>
      </c>
      <c r="D32" s="518">
        <f>+D33</f>
        <v>0</v>
      </c>
      <c r="E32" s="518">
        <f t="shared" ref="E32:J32" si="38">+E33</f>
        <v>0</v>
      </c>
      <c r="F32" s="518">
        <f t="shared" si="38"/>
        <v>0</v>
      </c>
      <c r="G32" s="518">
        <f t="shared" si="38"/>
        <v>0</v>
      </c>
      <c r="H32" s="518">
        <f t="shared" si="38"/>
        <v>0</v>
      </c>
      <c r="I32" s="518">
        <f t="shared" si="38"/>
        <v>0</v>
      </c>
      <c r="J32" s="518">
        <f t="shared" si="38"/>
        <v>0</v>
      </c>
      <c r="K32" s="884">
        <f>+K33</f>
        <v>0</v>
      </c>
      <c r="L32" s="885">
        <f>+L33</f>
        <v>0</v>
      </c>
      <c r="M32" s="885">
        <f>+M33</f>
        <v>0</v>
      </c>
      <c r="N32" s="885">
        <f>+N33</f>
        <v>0</v>
      </c>
      <c r="O32" s="518">
        <f t="shared" ref="O32:W32" si="39">+O33</f>
        <v>0</v>
      </c>
      <c r="P32" s="518">
        <f t="shared" si="39"/>
        <v>0</v>
      </c>
      <c r="Q32" s="518">
        <f t="shared" si="39"/>
        <v>0</v>
      </c>
      <c r="R32" s="518">
        <f t="shared" si="39"/>
        <v>0</v>
      </c>
      <c r="S32" s="518">
        <f t="shared" si="39"/>
        <v>0</v>
      </c>
      <c r="T32" s="518">
        <f t="shared" si="39"/>
        <v>0</v>
      </c>
      <c r="U32" s="518">
        <f t="shared" si="39"/>
        <v>0</v>
      </c>
      <c r="V32" s="518">
        <f t="shared" si="39"/>
        <v>0</v>
      </c>
      <c r="W32" s="518">
        <f t="shared" si="39"/>
        <v>0</v>
      </c>
      <c r="X32" s="372">
        <f>+X33</f>
        <v>0</v>
      </c>
      <c r="Y32" s="4640"/>
    </row>
    <row r="33" spans="1:26" ht="15.75" hidden="1" customHeight="1">
      <c r="A33" s="4673"/>
      <c r="B33" s="491" t="s">
        <v>24</v>
      </c>
      <c r="C33" s="4130"/>
      <c r="D33" s="473">
        <f>+M33+O33+P33+Q33+R33+S33+T33+U33+V33+W33</f>
        <v>0</v>
      </c>
      <c r="E33" s="463">
        <v>0</v>
      </c>
      <c r="F33" s="464"/>
      <c r="G33" s="464"/>
      <c r="H33" s="463"/>
      <c r="I33" s="463">
        <v>0</v>
      </c>
      <c r="J33" s="463">
        <v>0</v>
      </c>
      <c r="K33" s="463">
        <v>0</v>
      </c>
      <c r="L33" s="463">
        <v>0</v>
      </c>
      <c r="M33" s="463">
        <v>0</v>
      </c>
      <c r="N33" s="463"/>
      <c r="O33" s="463">
        <v>0</v>
      </c>
      <c r="P33" s="463">
        <v>0</v>
      </c>
      <c r="Q33" s="463">
        <v>0</v>
      </c>
      <c r="R33" s="463">
        <v>0</v>
      </c>
      <c r="S33" s="463">
        <v>0</v>
      </c>
      <c r="T33" s="463">
        <v>0</v>
      </c>
      <c r="U33" s="463">
        <v>0</v>
      </c>
      <c r="V33" s="463">
        <v>0</v>
      </c>
      <c r="W33" s="463">
        <v>0</v>
      </c>
      <c r="X33" s="377">
        <f>+P33+Q33+R33+S33</f>
        <v>0</v>
      </c>
      <c r="Y33" s="4640"/>
    </row>
    <row r="34" spans="1:26" ht="12.75" hidden="1" thickBot="1">
      <c r="A34" s="4673"/>
      <c r="B34" s="491" t="s">
        <v>30</v>
      </c>
      <c r="C34" s="4130"/>
      <c r="D34" s="466">
        <f t="shared" ref="D34:X34" si="40">+D35</f>
        <v>0</v>
      </c>
      <c r="E34" s="467">
        <f t="shared" si="40"/>
        <v>0</v>
      </c>
      <c r="F34" s="467">
        <f t="shared" si="40"/>
        <v>0</v>
      </c>
      <c r="G34" s="467">
        <f t="shared" si="40"/>
        <v>0</v>
      </c>
      <c r="H34" s="467">
        <f t="shared" si="40"/>
        <v>0</v>
      </c>
      <c r="I34" s="571">
        <f t="shared" si="40"/>
        <v>0</v>
      </c>
      <c r="J34" s="571">
        <f t="shared" si="40"/>
        <v>0</v>
      </c>
      <c r="K34" s="571">
        <f t="shared" si="40"/>
        <v>0</v>
      </c>
      <c r="L34" s="886">
        <f t="shared" si="40"/>
        <v>0</v>
      </c>
      <c r="M34" s="886">
        <f t="shared" si="40"/>
        <v>0</v>
      </c>
      <c r="N34" s="886">
        <f t="shared" si="40"/>
        <v>0</v>
      </c>
      <c r="O34" s="571">
        <f t="shared" si="40"/>
        <v>0</v>
      </c>
      <c r="P34" s="571">
        <f t="shared" si="40"/>
        <v>0</v>
      </c>
      <c r="Q34" s="571">
        <f t="shared" si="40"/>
        <v>0</v>
      </c>
      <c r="R34" s="571">
        <f t="shared" si="40"/>
        <v>0</v>
      </c>
      <c r="S34" s="571">
        <f t="shared" si="40"/>
        <v>0</v>
      </c>
      <c r="T34" s="571">
        <f t="shared" si="40"/>
        <v>0</v>
      </c>
      <c r="U34" s="571">
        <f t="shared" si="40"/>
        <v>0</v>
      </c>
      <c r="V34" s="571">
        <f t="shared" si="40"/>
        <v>0</v>
      </c>
      <c r="W34" s="571">
        <f t="shared" si="40"/>
        <v>0</v>
      </c>
      <c r="X34" s="509">
        <f t="shared" si="40"/>
        <v>0</v>
      </c>
      <c r="Y34" s="4640"/>
    </row>
    <row r="35" spans="1:26" ht="12.75" hidden="1" customHeight="1">
      <c r="A35" s="4673"/>
      <c r="B35" s="491" t="s">
        <v>33</v>
      </c>
      <c r="C35" s="4130"/>
      <c r="D35" s="473">
        <f>+M35+O35+P35+Q35+R35+S35+T35+U35+V35+W35</f>
        <v>0</v>
      </c>
      <c r="E35" s="461">
        <v>0</v>
      </c>
      <c r="F35" s="1768">
        <v>0</v>
      </c>
      <c r="G35" s="1768"/>
      <c r="H35" s="461"/>
      <c r="I35" s="461">
        <v>0</v>
      </c>
      <c r="J35" s="461">
        <v>0</v>
      </c>
      <c r="K35" s="461">
        <v>0</v>
      </c>
      <c r="L35" s="461">
        <v>0</v>
      </c>
      <c r="M35" s="463">
        <v>0</v>
      </c>
      <c r="N35" s="461"/>
      <c r="O35" s="461">
        <v>0</v>
      </c>
      <c r="P35" s="461">
        <v>0</v>
      </c>
      <c r="Q35" s="461">
        <v>0</v>
      </c>
      <c r="R35" s="461">
        <v>0</v>
      </c>
      <c r="S35" s="461">
        <v>0</v>
      </c>
      <c r="T35" s="461">
        <v>0</v>
      </c>
      <c r="U35" s="461">
        <v>0</v>
      </c>
      <c r="V35" s="461">
        <v>0</v>
      </c>
      <c r="W35" s="461">
        <v>0</v>
      </c>
      <c r="X35" s="377">
        <f>+P35+Q35+R35+S35</f>
        <v>0</v>
      </c>
      <c r="Y35" s="4640"/>
    </row>
    <row r="36" spans="1:26" ht="13.5" hidden="1" customHeight="1">
      <c r="A36" s="4673"/>
      <c r="B36" s="406" t="s">
        <v>34</v>
      </c>
      <c r="C36" s="382"/>
      <c r="D36" s="471">
        <f>+D37</f>
        <v>0</v>
      </c>
      <c r="E36" s="450">
        <f t="shared" ref="E36:U37" si="41">+E37</f>
        <v>0</v>
      </c>
      <c r="F36" s="450">
        <f t="shared" si="41"/>
        <v>0</v>
      </c>
      <c r="G36" s="450">
        <f t="shared" si="41"/>
        <v>0</v>
      </c>
      <c r="H36" s="450">
        <f t="shared" si="41"/>
        <v>0</v>
      </c>
      <c r="I36" s="450">
        <f t="shared" si="41"/>
        <v>0</v>
      </c>
      <c r="J36" s="450">
        <f t="shared" si="41"/>
        <v>0</v>
      </c>
      <c r="K36" s="450">
        <f t="shared" si="41"/>
        <v>0</v>
      </c>
      <c r="L36" s="471">
        <f t="shared" si="41"/>
        <v>0</v>
      </c>
      <c r="M36" s="471">
        <f t="shared" si="41"/>
        <v>0</v>
      </c>
      <c r="N36" s="471">
        <f t="shared" si="41"/>
        <v>0</v>
      </c>
      <c r="O36" s="471">
        <f t="shared" si="41"/>
        <v>0</v>
      </c>
      <c r="P36" s="450">
        <f t="shared" si="41"/>
        <v>0</v>
      </c>
      <c r="Q36" s="450">
        <f t="shared" si="41"/>
        <v>0</v>
      </c>
      <c r="R36" s="450">
        <f t="shared" si="41"/>
        <v>0</v>
      </c>
      <c r="S36" s="450">
        <f t="shared" si="41"/>
        <v>0</v>
      </c>
      <c r="T36" s="450">
        <f t="shared" si="41"/>
        <v>0</v>
      </c>
      <c r="U36" s="450">
        <f t="shared" si="41"/>
        <v>0</v>
      </c>
      <c r="V36" s="450">
        <f t="shared" ref="V36:W36" si="42">+V37</f>
        <v>0</v>
      </c>
      <c r="W36" s="450">
        <f t="shared" si="42"/>
        <v>0</v>
      </c>
      <c r="X36" s="4002" t="s">
        <v>77</v>
      </c>
      <c r="Y36" s="4640"/>
    </row>
    <row r="37" spans="1:26" ht="13.5" hidden="1" customHeight="1">
      <c r="A37" s="4673"/>
      <c r="B37" s="889" t="s">
        <v>30</v>
      </c>
      <c r="C37" s="4136" t="s">
        <v>265</v>
      </c>
      <c r="D37" s="466">
        <f>+D38</f>
        <v>0</v>
      </c>
      <c r="E37" s="467">
        <f t="shared" si="41"/>
        <v>0</v>
      </c>
      <c r="F37" s="467">
        <f t="shared" si="41"/>
        <v>0</v>
      </c>
      <c r="G37" s="467">
        <f t="shared" si="41"/>
        <v>0</v>
      </c>
      <c r="H37" s="467">
        <f t="shared" si="41"/>
        <v>0</v>
      </c>
      <c r="I37" s="467">
        <f t="shared" si="41"/>
        <v>0</v>
      </c>
      <c r="J37" s="467">
        <f t="shared" si="41"/>
        <v>0</v>
      </c>
      <c r="K37" s="467">
        <f t="shared" si="41"/>
        <v>0</v>
      </c>
      <c r="L37" s="467">
        <f t="shared" si="41"/>
        <v>0</v>
      </c>
      <c r="M37" s="467">
        <f t="shared" si="41"/>
        <v>0</v>
      </c>
      <c r="N37" s="467">
        <f t="shared" si="41"/>
        <v>0</v>
      </c>
      <c r="O37" s="467">
        <f t="shared" si="41"/>
        <v>0</v>
      </c>
      <c r="P37" s="467">
        <f t="shared" si="41"/>
        <v>0</v>
      </c>
      <c r="Q37" s="467">
        <f t="shared" si="41"/>
        <v>0</v>
      </c>
      <c r="R37" s="467">
        <f t="shared" si="41"/>
        <v>0</v>
      </c>
      <c r="S37" s="467">
        <f t="shared" si="41"/>
        <v>0</v>
      </c>
      <c r="T37" s="467">
        <f t="shared" si="41"/>
        <v>0</v>
      </c>
      <c r="U37" s="467">
        <f t="shared" si="41"/>
        <v>0</v>
      </c>
      <c r="V37" s="467">
        <f t="shared" ref="V37:W37" si="43">+V38</f>
        <v>0</v>
      </c>
      <c r="W37" s="467">
        <f t="shared" si="43"/>
        <v>0</v>
      </c>
      <c r="X37" s="4003"/>
      <c r="Y37" s="4640"/>
    </row>
    <row r="38" spans="1:26" ht="13.5" hidden="1" customHeight="1" thickBot="1">
      <c r="A38" s="4674"/>
      <c r="B38" s="1771" t="s">
        <v>33</v>
      </c>
      <c r="C38" s="4509"/>
      <c r="D38" s="541">
        <f>+M38+O38+P38+Q38+R38+S38+T38+U38+V38+W38</f>
        <v>0</v>
      </c>
      <c r="E38" s="498"/>
      <c r="F38" s="1771"/>
      <c r="G38" s="1771"/>
      <c r="H38" s="498"/>
      <c r="I38" s="498">
        <v>0</v>
      </c>
      <c r="J38" s="498">
        <v>0</v>
      </c>
      <c r="K38" s="498">
        <v>0</v>
      </c>
      <c r="L38" s="498">
        <v>0</v>
      </c>
      <c r="M38" s="498">
        <v>0</v>
      </c>
      <c r="N38" s="498"/>
      <c r="O38" s="498">
        <v>0</v>
      </c>
      <c r="P38" s="498">
        <v>0</v>
      </c>
      <c r="Q38" s="498">
        <v>0</v>
      </c>
      <c r="R38" s="498">
        <v>0</v>
      </c>
      <c r="S38" s="498">
        <v>0</v>
      </c>
      <c r="T38" s="498">
        <v>0</v>
      </c>
      <c r="U38" s="498">
        <v>0</v>
      </c>
      <c r="V38" s="498">
        <v>0</v>
      </c>
      <c r="W38" s="498">
        <v>0</v>
      </c>
      <c r="X38" s="4004"/>
      <c r="Y38" s="4512"/>
    </row>
    <row r="39" spans="1:26" s="1769" customFormat="1" ht="45" customHeight="1">
      <c r="A39" s="4663" t="s">
        <v>79</v>
      </c>
      <c r="B39" s="2731" t="s">
        <v>570</v>
      </c>
      <c r="C39" s="1789" t="s">
        <v>131</v>
      </c>
      <c r="D39" s="1792"/>
      <c r="E39" s="1792"/>
      <c r="F39" s="1792"/>
      <c r="G39" s="1792"/>
      <c r="H39" s="1792"/>
      <c r="I39" s="1792"/>
      <c r="J39" s="1792"/>
      <c r="K39" s="1792"/>
      <c r="L39" s="1792"/>
      <c r="M39" s="1792"/>
      <c r="N39" s="1792"/>
      <c r="O39" s="1792"/>
      <c r="P39" s="1793"/>
      <c r="Q39" s="1793"/>
      <c r="R39" s="1793"/>
      <c r="S39" s="1793"/>
      <c r="T39" s="1792"/>
      <c r="U39" s="1792"/>
      <c r="V39" s="1792"/>
      <c r="W39" s="1792"/>
      <c r="X39" s="1794"/>
      <c r="Y39" s="4384" t="s">
        <v>408</v>
      </c>
    </row>
    <row r="40" spans="1:26" s="1769" customFormat="1" ht="16.5" customHeight="1">
      <c r="A40" s="4655"/>
      <c r="B40" s="1795" t="s">
        <v>22</v>
      </c>
      <c r="C40" s="1796"/>
      <c r="D40" s="2732">
        <f t="shared" ref="D40:M40" si="44">+D41+D43</f>
        <v>966112</v>
      </c>
      <c r="E40" s="2732">
        <f t="shared" si="44"/>
        <v>0</v>
      </c>
      <c r="F40" s="2732">
        <f t="shared" si="44"/>
        <v>0</v>
      </c>
      <c r="G40" s="2732">
        <f t="shared" si="44"/>
        <v>0</v>
      </c>
      <c r="H40" s="2732">
        <f t="shared" si="44"/>
        <v>0</v>
      </c>
      <c r="I40" s="2732">
        <f t="shared" si="44"/>
        <v>0</v>
      </c>
      <c r="J40" s="2732">
        <f t="shared" si="44"/>
        <v>0</v>
      </c>
      <c r="K40" s="2732">
        <f t="shared" si="44"/>
        <v>103502</v>
      </c>
      <c r="L40" s="2732">
        <f t="shared" si="44"/>
        <v>299609</v>
      </c>
      <c r="M40" s="2732">
        <f t="shared" si="44"/>
        <v>593389</v>
      </c>
      <c r="N40" s="2732">
        <f>N41+N43</f>
        <v>190278</v>
      </c>
      <c r="O40" s="2732">
        <f>O41+O43</f>
        <v>372723</v>
      </c>
      <c r="P40" s="2732">
        <f>P41+P43</f>
        <v>0</v>
      </c>
      <c r="Q40" s="2732">
        <f>Q41+Q43</f>
        <v>0</v>
      </c>
      <c r="R40" s="2732">
        <f t="shared" ref="R40:W40" si="45">R41+R43</f>
        <v>0</v>
      </c>
      <c r="S40" s="2732">
        <f t="shared" si="45"/>
        <v>0</v>
      </c>
      <c r="T40" s="2732">
        <f t="shared" si="45"/>
        <v>0</v>
      </c>
      <c r="U40" s="2732">
        <f t="shared" si="45"/>
        <v>0</v>
      </c>
      <c r="V40" s="2732">
        <f t="shared" si="45"/>
        <v>0</v>
      </c>
      <c r="W40" s="2732">
        <f t="shared" si="45"/>
        <v>0</v>
      </c>
      <c r="X40" s="1798">
        <f>+X41+X43</f>
        <v>0</v>
      </c>
      <c r="Y40" s="4658"/>
    </row>
    <row r="41" spans="1:26" s="1769" customFormat="1" ht="14.25" customHeight="1">
      <c r="A41" s="4655"/>
      <c r="B41" s="1367" t="s">
        <v>36</v>
      </c>
      <c r="C41" s="4667" t="s">
        <v>264</v>
      </c>
      <c r="D41" s="2300">
        <f>+D42</f>
        <v>144665</v>
      </c>
      <c r="E41" s="1967">
        <f t="shared" ref="E41:J41" si="46">+E42</f>
        <v>0</v>
      </c>
      <c r="F41" s="1967">
        <f t="shared" si="46"/>
        <v>0</v>
      </c>
      <c r="G41" s="1967">
        <f t="shared" si="46"/>
        <v>0</v>
      </c>
      <c r="H41" s="1967">
        <f t="shared" si="46"/>
        <v>0</v>
      </c>
      <c r="I41" s="1967">
        <f t="shared" si="46"/>
        <v>0</v>
      </c>
      <c r="J41" s="1967">
        <f t="shared" si="46"/>
        <v>0</v>
      </c>
      <c r="K41" s="1352">
        <f>+K42</f>
        <v>15523</v>
      </c>
      <c r="L41" s="2733">
        <f>+L42</f>
        <v>44942</v>
      </c>
      <c r="M41" s="2733">
        <f>+M42</f>
        <v>89007</v>
      </c>
      <c r="N41" s="2733">
        <f>N42</f>
        <v>28542</v>
      </c>
      <c r="O41" s="2733">
        <f>O42</f>
        <v>55658</v>
      </c>
      <c r="P41" s="2733">
        <f>P42</f>
        <v>0</v>
      </c>
      <c r="Q41" s="2733">
        <f>Q42</f>
        <v>0</v>
      </c>
      <c r="R41" s="2733">
        <f t="shared" ref="R41:W41" si="47">R42</f>
        <v>0</v>
      </c>
      <c r="S41" s="2733">
        <f t="shared" si="47"/>
        <v>0</v>
      </c>
      <c r="T41" s="2733">
        <f t="shared" si="47"/>
        <v>0</v>
      </c>
      <c r="U41" s="2733">
        <f t="shared" si="47"/>
        <v>0</v>
      </c>
      <c r="V41" s="2733">
        <f t="shared" si="47"/>
        <v>0</v>
      </c>
      <c r="W41" s="2733">
        <f t="shared" si="47"/>
        <v>0</v>
      </c>
      <c r="X41" s="2734">
        <f>+X42</f>
        <v>0</v>
      </c>
      <c r="Y41" s="4659"/>
    </row>
    <row r="42" spans="1:26" s="1769" customFormat="1" ht="12.75" customHeight="1">
      <c r="A42" s="4655"/>
      <c r="B42" s="1370" t="s">
        <v>24</v>
      </c>
      <c r="C42" s="4668"/>
      <c r="D42" s="1817">
        <f>+M42+O42+P42+Q42+R42+S42+T42+U42+V42+W42</f>
        <v>144665</v>
      </c>
      <c r="E42" s="1820">
        <v>0</v>
      </c>
      <c r="F42" s="1959"/>
      <c r="G42" s="1959"/>
      <c r="H42" s="1820"/>
      <c r="I42" s="1820">
        <v>0</v>
      </c>
      <c r="J42" s="1820">
        <v>0</v>
      </c>
      <c r="K42" s="1820">
        <f>34500-17553-1424</f>
        <v>15523</v>
      </c>
      <c r="L42" s="1820">
        <f>54750+17553-27361</f>
        <v>44942</v>
      </c>
      <c r="M42" s="1820">
        <f>+L42+K42+J42+I42+N42</f>
        <v>89007</v>
      </c>
      <c r="N42" s="1820">
        <f>29370-828</f>
        <v>28542</v>
      </c>
      <c r="O42" s="1820">
        <f>52529+828+2301</f>
        <v>55658</v>
      </c>
      <c r="P42" s="1820">
        <v>0</v>
      </c>
      <c r="Q42" s="1820">
        <v>0</v>
      </c>
      <c r="R42" s="1820">
        <v>0</v>
      </c>
      <c r="S42" s="1820">
        <v>0</v>
      </c>
      <c r="T42" s="1820">
        <v>0</v>
      </c>
      <c r="U42" s="1820">
        <v>0</v>
      </c>
      <c r="V42" s="1820">
        <v>0</v>
      </c>
      <c r="W42" s="1820">
        <v>0</v>
      </c>
      <c r="X42" s="1821">
        <f>+P42+Q42+R42+S42</f>
        <v>0</v>
      </c>
      <c r="Y42" s="4659"/>
    </row>
    <row r="43" spans="1:26" s="1769" customFormat="1" ht="14.25" customHeight="1">
      <c r="A43" s="4655"/>
      <c r="B43" s="1859" t="s">
        <v>30</v>
      </c>
      <c r="C43" s="4668"/>
      <c r="D43" s="1812">
        <f t="shared" ref="D43:M43" si="48">+D44</f>
        <v>821447</v>
      </c>
      <c r="E43" s="1812">
        <f t="shared" si="48"/>
        <v>0</v>
      </c>
      <c r="F43" s="1812">
        <f t="shared" si="48"/>
        <v>0</v>
      </c>
      <c r="G43" s="1812">
        <f t="shared" si="48"/>
        <v>0</v>
      </c>
      <c r="H43" s="1812">
        <f t="shared" si="48"/>
        <v>0</v>
      </c>
      <c r="I43" s="1813">
        <f t="shared" si="48"/>
        <v>0</v>
      </c>
      <c r="J43" s="1813">
        <f t="shared" si="48"/>
        <v>0</v>
      </c>
      <c r="K43" s="1813">
        <f t="shared" si="48"/>
        <v>87979</v>
      </c>
      <c r="L43" s="2735">
        <f t="shared" si="48"/>
        <v>254667</v>
      </c>
      <c r="M43" s="2735">
        <f t="shared" si="48"/>
        <v>504382</v>
      </c>
      <c r="N43" s="2735">
        <f>N44</f>
        <v>161736</v>
      </c>
      <c r="O43" s="2735">
        <f>O44</f>
        <v>317065</v>
      </c>
      <c r="P43" s="2735">
        <f>P44</f>
        <v>0</v>
      </c>
      <c r="Q43" s="2735">
        <f>Q44</f>
        <v>0</v>
      </c>
      <c r="R43" s="2735">
        <f t="shared" ref="R43:W43" si="49">R44</f>
        <v>0</v>
      </c>
      <c r="S43" s="2735">
        <f t="shared" si="49"/>
        <v>0</v>
      </c>
      <c r="T43" s="2735">
        <f t="shared" si="49"/>
        <v>0</v>
      </c>
      <c r="U43" s="2735">
        <f t="shared" si="49"/>
        <v>0</v>
      </c>
      <c r="V43" s="2735">
        <f t="shared" si="49"/>
        <v>0</v>
      </c>
      <c r="W43" s="2735">
        <f t="shared" si="49"/>
        <v>0</v>
      </c>
      <c r="X43" s="1815">
        <f>+X44</f>
        <v>0</v>
      </c>
      <c r="Y43" s="4659"/>
    </row>
    <row r="44" spans="1:26" s="1769" customFormat="1" ht="13.5" customHeight="1">
      <c r="A44" s="4655"/>
      <c r="B44" s="2412" t="s">
        <v>33</v>
      </c>
      <c r="C44" s="4669"/>
      <c r="D44" s="1817">
        <f>+M44+O44+P44+Q44+R44+S44+T44+U44+V44+W44</f>
        <v>821447</v>
      </c>
      <c r="E44" s="1818">
        <v>0</v>
      </c>
      <c r="F44" s="2412">
        <v>0</v>
      </c>
      <c r="G44" s="2412"/>
      <c r="H44" s="1818"/>
      <c r="I44" s="1818">
        <v>0</v>
      </c>
      <c r="J44" s="1818">
        <v>0</v>
      </c>
      <c r="K44" s="1818">
        <f>195500-99464-8057</f>
        <v>87979</v>
      </c>
      <c r="L44" s="1818">
        <f>310250+99464-155047</f>
        <v>254667</v>
      </c>
      <c r="M44" s="1820">
        <f>+L44+K44+J44+I44+N44</f>
        <v>504382</v>
      </c>
      <c r="N44" s="1818">
        <f>166410-4674</f>
        <v>161736</v>
      </c>
      <c r="O44" s="1818">
        <f>299330+4674+13061</f>
        <v>317065</v>
      </c>
      <c r="P44" s="1818">
        <v>0</v>
      </c>
      <c r="Q44" s="1818">
        <v>0</v>
      </c>
      <c r="R44" s="1818">
        <v>0</v>
      </c>
      <c r="S44" s="1818">
        <v>0</v>
      </c>
      <c r="T44" s="1818">
        <v>0</v>
      </c>
      <c r="U44" s="1818">
        <v>0</v>
      </c>
      <c r="V44" s="1818">
        <v>0</v>
      </c>
      <c r="W44" s="1818">
        <v>0</v>
      </c>
      <c r="X44" s="1821">
        <f>+P44+Q44+R44+S44</f>
        <v>0</v>
      </c>
      <c r="Y44" s="4659"/>
    </row>
    <row r="45" spans="1:26" s="1769" customFormat="1" ht="15.75" customHeight="1">
      <c r="A45" s="4655"/>
      <c r="B45" s="1795" t="s">
        <v>34</v>
      </c>
      <c r="C45" s="2736"/>
      <c r="D45" s="2732">
        <f>+D46</f>
        <v>806617</v>
      </c>
      <c r="E45" s="2732">
        <f t="shared" ref="E45:N46" si="50">+E46</f>
        <v>0</v>
      </c>
      <c r="F45" s="2732">
        <f t="shared" si="50"/>
        <v>0</v>
      </c>
      <c r="G45" s="2732">
        <f t="shared" si="50"/>
        <v>0</v>
      </c>
      <c r="H45" s="2732">
        <f t="shared" si="50"/>
        <v>0</v>
      </c>
      <c r="I45" s="2732">
        <f t="shared" si="50"/>
        <v>0</v>
      </c>
      <c r="J45" s="2732">
        <f t="shared" si="50"/>
        <v>0</v>
      </c>
      <c r="K45" s="2732">
        <f t="shared" si="50"/>
        <v>0</v>
      </c>
      <c r="L45" s="2732">
        <f t="shared" si="50"/>
        <v>75215</v>
      </c>
      <c r="M45" s="2732">
        <f t="shared" si="50"/>
        <v>139612</v>
      </c>
      <c r="N45" s="1797">
        <f t="shared" si="50"/>
        <v>64397</v>
      </c>
      <c r="O45" s="1797">
        <f t="shared" ref="O45:W46" si="51">O46</f>
        <v>452045</v>
      </c>
      <c r="P45" s="1797">
        <f t="shared" si="51"/>
        <v>214960</v>
      </c>
      <c r="Q45" s="1797">
        <f t="shared" si="51"/>
        <v>0</v>
      </c>
      <c r="R45" s="1797">
        <f t="shared" si="51"/>
        <v>0</v>
      </c>
      <c r="S45" s="1797">
        <f t="shared" si="51"/>
        <v>0</v>
      </c>
      <c r="T45" s="1797">
        <f t="shared" si="51"/>
        <v>0</v>
      </c>
      <c r="U45" s="1797">
        <f t="shared" si="51"/>
        <v>0</v>
      </c>
      <c r="V45" s="1797">
        <f t="shared" si="51"/>
        <v>0</v>
      </c>
      <c r="W45" s="1797">
        <f t="shared" si="51"/>
        <v>0</v>
      </c>
      <c r="X45" s="4111" t="s">
        <v>77</v>
      </c>
      <c r="Y45" s="4659"/>
    </row>
    <row r="46" spans="1:26" s="1769" customFormat="1" ht="12.75" customHeight="1">
      <c r="A46" s="4655"/>
      <c r="B46" s="2737" t="s">
        <v>30</v>
      </c>
      <c r="C46" s="4670" t="s">
        <v>264</v>
      </c>
      <c r="D46" s="1812">
        <f>+D47</f>
        <v>806617</v>
      </c>
      <c r="E46" s="1812">
        <f t="shared" si="50"/>
        <v>0</v>
      </c>
      <c r="F46" s="1812">
        <f t="shared" si="50"/>
        <v>0</v>
      </c>
      <c r="G46" s="1812">
        <f t="shared" si="50"/>
        <v>0</v>
      </c>
      <c r="H46" s="1812">
        <f t="shared" si="50"/>
        <v>0</v>
      </c>
      <c r="I46" s="1812">
        <f t="shared" si="50"/>
        <v>0</v>
      </c>
      <c r="J46" s="1812">
        <f t="shared" si="50"/>
        <v>0</v>
      </c>
      <c r="K46" s="1812">
        <f t="shared" si="50"/>
        <v>0</v>
      </c>
      <c r="L46" s="1812">
        <f t="shared" si="50"/>
        <v>75215</v>
      </c>
      <c r="M46" s="1812">
        <f t="shared" si="50"/>
        <v>139612</v>
      </c>
      <c r="N46" s="1812">
        <f t="shared" si="50"/>
        <v>64397</v>
      </c>
      <c r="O46" s="1812">
        <f t="shared" si="51"/>
        <v>452045</v>
      </c>
      <c r="P46" s="1812">
        <f t="shared" si="51"/>
        <v>214960</v>
      </c>
      <c r="Q46" s="1812">
        <f t="shared" si="51"/>
        <v>0</v>
      </c>
      <c r="R46" s="1812">
        <f t="shared" si="51"/>
        <v>0</v>
      </c>
      <c r="S46" s="1812">
        <f t="shared" si="51"/>
        <v>0</v>
      </c>
      <c r="T46" s="1812">
        <f t="shared" si="51"/>
        <v>0</v>
      </c>
      <c r="U46" s="1812">
        <f t="shared" si="51"/>
        <v>0</v>
      </c>
      <c r="V46" s="1812">
        <f t="shared" si="51"/>
        <v>0</v>
      </c>
      <c r="W46" s="1812">
        <f t="shared" si="51"/>
        <v>0</v>
      </c>
      <c r="X46" s="4112"/>
      <c r="Y46" s="4659"/>
    </row>
    <row r="47" spans="1:26" s="1769" customFormat="1" ht="12.75" customHeight="1" thickBot="1">
      <c r="A47" s="4666"/>
      <c r="B47" s="2738" t="s">
        <v>33</v>
      </c>
      <c r="C47" s="4671"/>
      <c r="D47" s="2726">
        <f>+M47+O47+P47+Q47+R47+S47+T47+U47+V47+W47</f>
        <v>806617</v>
      </c>
      <c r="E47" s="1825">
        <v>0</v>
      </c>
      <c r="F47" s="1825"/>
      <c r="G47" s="1825"/>
      <c r="H47" s="1825"/>
      <c r="I47" s="1825">
        <v>0</v>
      </c>
      <c r="J47" s="1825">
        <v>0</v>
      </c>
      <c r="K47" s="1825">
        <f>20000-2100-17900</f>
        <v>0</v>
      </c>
      <c r="L47" s="1825">
        <f>80000+2100+17900-24785</f>
        <v>75215</v>
      </c>
      <c r="M47" s="1825">
        <f>+L47+K47+J47+I47+N47</f>
        <v>139612</v>
      </c>
      <c r="N47" s="1825">
        <f>280000-215603</f>
        <v>64397</v>
      </c>
      <c r="O47" s="1825">
        <f>453171+215603-216729</f>
        <v>452045</v>
      </c>
      <c r="P47" s="1825">
        <v>214960</v>
      </c>
      <c r="Q47" s="1825">
        <v>0</v>
      </c>
      <c r="R47" s="1825">
        <v>0</v>
      </c>
      <c r="S47" s="1825">
        <v>0</v>
      </c>
      <c r="T47" s="1825">
        <v>0</v>
      </c>
      <c r="U47" s="1825">
        <v>0</v>
      </c>
      <c r="V47" s="1825">
        <v>0</v>
      </c>
      <c r="W47" s="1825">
        <v>0</v>
      </c>
      <c r="X47" s="4113"/>
      <c r="Y47" s="4664"/>
      <c r="Z47" s="1056">
        <f>D44-D47</f>
        <v>14830</v>
      </c>
    </row>
    <row r="48" spans="1:26" ht="30.75" hidden="1" customHeight="1">
      <c r="A48" s="4344" t="s">
        <v>82</v>
      </c>
      <c r="B48" s="833" t="s">
        <v>430</v>
      </c>
      <c r="C48" s="1766" t="s">
        <v>131</v>
      </c>
      <c r="D48" s="846"/>
      <c r="E48" s="775"/>
      <c r="F48" s="775"/>
      <c r="G48" s="775"/>
      <c r="H48" s="775"/>
      <c r="I48" s="775"/>
      <c r="J48" s="775"/>
      <c r="K48" s="775"/>
      <c r="L48" s="836"/>
      <c r="M48" s="836"/>
      <c r="N48" s="836"/>
      <c r="O48" s="836"/>
      <c r="P48" s="837"/>
      <c r="Q48" s="837"/>
      <c r="R48" s="837"/>
      <c r="S48" s="837"/>
      <c r="T48" s="836"/>
      <c r="U48" s="836"/>
      <c r="V48" s="836"/>
      <c r="W48" s="836"/>
      <c r="X48" s="838"/>
      <c r="Y48" s="4390" t="s">
        <v>408</v>
      </c>
    </row>
    <row r="49" spans="1:29" ht="15.75" hidden="1" customHeight="1">
      <c r="A49" s="4345"/>
      <c r="B49" s="406" t="s">
        <v>22</v>
      </c>
      <c r="C49" s="382"/>
      <c r="D49" s="471">
        <f>+D50</f>
        <v>0</v>
      </c>
      <c r="E49" s="471">
        <f t="shared" ref="E49:U50" si="52">+E50</f>
        <v>0</v>
      </c>
      <c r="F49" s="471">
        <f t="shared" si="52"/>
        <v>0</v>
      </c>
      <c r="G49" s="471">
        <f t="shared" si="52"/>
        <v>0</v>
      </c>
      <c r="H49" s="471">
        <f t="shared" si="52"/>
        <v>0</v>
      </c>
      <c r="I49" s="471">
        <f t="shared" si="52"/>
        <v>0</v>
      </c>
      <c r="J49" s="471">
        <f t="shared" si="52"/>
        <v>0</v>
      </c>
      <c r="K49" s="471">
        <f t="shared" si="52"/>
        <v>0</v>
      </c>
      <c r="L49" s="471">
        <f t="shared" si="52"/>
        <v>0</v>
      </c>
      <c r="M49" s="471">
        <f t="shared" si="52"/>
        <v>0</v>
      </c>
      <c r="N49" s="471">
        <f t="shared" si="52"/>
        <v>472576</v>
      </c>
      <c r="O49" s="471">
        <f t="shared" si="52"/>
        <v>0</v>
      </c>
      <c r="P49" s="471">
        <f t="shared" si="52"/>
        <v>0</v>
      </c>
      <c r="Q49" s="471">
        <f t="shared" si="52"/>
        <v>0</v>
      </c>
      <c r="R49" s="471">
        <f t="shared" si="52"/>
        <v>0</v>
      </c>
      <c r="S49" s="471">
        <f t="shared" si="52"/>
        <v>0</v>
      </c>
      <c r="T49" s="471">
        <f t="shared" si="52"/>
        <v>0</v>
      </c>
      <c r="U49" s="471">
        <f t="shared" si="52"/>
        <v>0</v>
      </c>
      <c r="V49" s="471">
        <f t="shared" ref="V49:W49" si="53">+V50</f>
        <v>0</v>
      </c>
      <c r="W49" s="471">
        <f t="shared" si="53"/>
        <v>0</v>
      </c>
      <c r="X49" s="487" t="str">
        <f t="shared" ref="X49:X51" si="54">+X50</f>
        <v>x</v>
      </c>
      <c r="Y49" s="4639"/>
      <c r="Z49" s="876"/>
      <c r="AA49" s="876"/>
      <c r="AB49" s="876"/>
      <c r="AC49" s="876"/>
    </row>
    <row r="50" spans="1:29" s="887" customFormat="1" ht="14.25" hidden="1" customHeight="1">
      <c r="A50" s="4345"/>
      <c r="B50" s="560" t="s">
        <v>30</v>
      </c>
      <c r="C50" s="4129" t="s">
        <v>264</v>
      </c>
      <c r="D50" s="466">
        <f>+D51</f>
        <v>0</v>
      </c>
      <c r="E50" s="467">
        <f t="shared" si="52"/>
        <v>0</v>
      </c>
      <c r="F50" s="467">
        <f t="shared" si="52"/>
        <v>0</v>
      </c>
      <c r="G50" s="467">
        <f t="shared" si="52"/>
        <v>0</v>
      </c>
      <c r="H50" s="467">
        <f t="shared" si="52"/>
        <v>0</v>
      </c>
      <c r="I50" s="571">
        <f t="shared" si="52"/>
        <v>0</v>
      </c>
      <c r="J50" s="571">
        <f t="shared" si="52"/>
        <v>0</v>
      </c>
      <c r="K50" s="571">
        <f t="shared" si="52"/>
        <v>0</v>
      </c>
      <c r="L50" s="571">
        <f t="shared" si="52"/>
        <v>0</v>
      </c>
      <c r="M50" s="571">
        <f t="shared" si="52"/>
        <v>0</v>
      </c>
      <c r="N50" s="577">
        <f>N51</f>
        <v>472576</v>
      </c>
      <c r="O50" s="577">
        <f>O51</f>
        <v>0</v>
      </c>
      <c r="P50" s="577">
        <f t="shared" ref="P50:T50" si="55">P51</f>
        <v>0</v>
      </c>
      <c r="Q50" s="577">
        <f t="shared" si="55"/>
        <v>0</v>
      </c>
      <c r="R50" s="577">
        <f t="shared" si="55"/>
        <v>0</v>
      </c>
      <c r="S50" s="577">
        <f t="shared" si="55"/>
        <v>0</v>
      </c>
      <c r="T50" s="577">
        <f t="shared" si="55"/>
        <v>0</v>
      </c>
      <c r="U50" s="577"/>
      <c r="V50" s="577"/>
      <c r="W50" s="577"/>
      <c r="X50" s="509" t="str">
        <f t="shared" si="54"/>
        <v>x</v>
      </c>
      <c r="Y50" s="4640"/>
      <c r="AA50" s="888"/>
      <c r="AB50" s="888"/>
      <c r="AC50" s="888"/>
    </row>
    <row r="51" spans="1:29" ht="13.5" hidden="1" thickBot="1">
      <c r="A51" s="4345"/>
      <c r="B51" s="1419" t="s">
        <v>33</v>
      </c>
      <c r="C51" s="4130"/>
      <c r="D51" s="473">
        <f>+M51+O51+P51+Q51+R51+S51+T51+U51+V51+W51</f>
        <v>0</v>
      </c>
      <c r="E51" s="461">
        <v>0</v>
      </c>
      <c r="F51" s="469">
        <v>0</v>
      </c>
      <c r="G51" s="469"/>
      <c r="H51" s="461"/>
      <c r="I51" s="461">
        <v>0</v>
      </c>
      <c r="J51" s="461">
        <v>0</v>
      </c>
      <c r="K51" s="461">
        <v>0</v>
      </c>
      <c r="L51" s="461">
        <v>0</v>
      </c>
      <c r="M51" s="463">
        <v>0</v>
      </c>
      <c r="N51" s="469">
        <f>744560-166216+100000+344006-549774</f>
        <v>472576</v>
      </c>
      <c r="O51" s="469">
        <v>0</v>
      </c>
      <c r="P51" s="469">
        <v>0</v>
      </c>
      <c r="Q51" s="469">
        <v>0</v>
      </c>
      <c r="R51" s="469">
        <v>0</v>
      </c>
      <c r="S51" s="469">
        <v>0</v>
      </c>
      <c r="T51" s="469">
        <v>0</v>
      </c>
      <c r="U51" s="469">
        <v>0</v>
      </c>
      <c r="V51" s="469">
        <v>0</v>
      </c>
      <c r="W51" s="469">
        <v>0</v>
      </c>
      <c r="X51" s="1256" t="str">
        <f t="shared" si="54"/>
        <v>x</v>
      </c>
      <c r="Y51" s="4640"/>
    </row>
    <row r="52" spans="1:29" ht="15.75" hidden="1" customHeight="1">
      <c r="A52" s="4345"/>
      <c r="B52" s="381" t="s">
        <v>34</v>
      </c>
      <c r="C52" s="382"/>
      <c r="D52" s="471">
        <f>+D53</f>
        <v>0</v>
      </c>
      <c r="E52" s="471">
        <f t="shared" ref="E52:N53" si="56">+E53</f>
        <v>0</v>
      </c>
      <c r="F52" s="471">
        <f t="shared" si="56"/>
        <v>0</v>
      </c>
      <c r="G52" s="471">
        <f t="shared" si="56"/>
        <v>0</v>
      </c>
      <c r="H52" s="471">
        <f t="shared" si="56"/>
        <v>0</v>
      </c>
      <c r="I52" s="471">
        <f t="shared" si="56"/>
        <v>0</v>
      </c>
      <c r="J52" s="471">
        <f t="shared" si="56"/>
        <v>0</v>
      </c>
      <c r="K52" s="471">
        <f t="shared" si="56"/>
        <v>0</v>
      </c>
      <c r="L52" s="471">
        <f t="shared" si="56"/>
        <v>0</v>
      </c>
      <c r="M52" s="471">
        <f t="shared" si="56"/>
        <v>0</v>
      </c>
      <c r="N52" s="471">
        <f t="shared" si="56"/>
        <v>358215</v>
      </c>
      <c r="O52" s="471">
        <f>O53</f>
        <v>0</v>
      </c>
      <c r="P52" s="471">
        <f t="shared" ref="P52:W53" si="57">P53</f>
        <v>0</v>
      </c>
      <c r="Q52" s="471">
        <f t="shared" si="57"/>
        <v>0</v>
      </c>
      <c r="R52" s="471">
        <f t="shared" si="57"/>
        <v>0</v>
      </c>
      <c r="S52" s="471">
        <f t="shared" si="57"/>
        <v>0</v>
      </c>
      <c r="T52" s="471">
        <f t="shared" si="57"/>
        <v>0</v>
      </c>
      <c r="U52" s="471">
        <f t="shared" si="57"/>
        <v>0</v>
      </c>
      <c r="V52" s="471">
        <f t="shared" si="57"/>
        <v>0</v>
      </c>
      <c r="W52" s="471">
        <f t="shared" si="57"/>
        <v>0</v>
      </c>
      <c r="X52" s="4002" t="s">
        <v>77</v>
      </c>
      <c r="Y52" s="4640"/>
    </row>
    <row r="53" spans="1:29" s="887" customFormat="1" ht="15" hidden="1" customHeight="1">
      <c r="A53" s="4345"/>
      <c r="B53" s="779" t="s">
        <v>30</v>
      </c>
      <c r="C53" s="4174" t="s">
        <v>102</v>
      </c>
      <c r="D53" s="466">
        <f>+D54</f>
        <v>0</v>
      </c>
      <c r="E53" s="467">
        <f t="shared" si="56"/>
        <v>0</v>
      </c>
      <c r="F53" s="467">
        <f t="shared" si="56"/>
        <v>0</v>
      </c>
      <c r="G53" s="467">
        <f t="shared" si="56"/>
        <v>0</v>
      </c>
      <c r="H53" s="467">
        <f t="shared" si="56"/>
        <v>0</v>
      </c>
      <c r="I53" s="467">
        <f t="shared" si="56"/>
        <v>0</v>
      </c>
      <c r="J53" s="467">
        <f t="shared" si="56"/>
        <v>0</v>
      </c>
      <c r="K53" s="467">
        <f t="shared" si="56"/>
        <v>0</v>
      </c>
      <c r="L53" s="467">
        <f t="shared" si="56"/>
        <v>0</v>
      </c>
      <c r="M53" s="467">
        <f t="shared" si="56"/>
        <v>0</v>
      </c>
      <c r="N53" s="467">
        <f t="shared" si="56"/>
        <v>358215</v>
      </c>
      <c r="O53" s="467">
        <f>O54</f>
        <v>0</v>
      </c>
      <c r="P53" s="467">
        <f t="shared" si="57"/>
        <v>0</v>
      </c>
      <c r="Q53" s="467">
        <f t="shared" si="57"/>
        <v>0</v>
      </c>
      <c r="R53" s="467">
        <f t="shared" si="57"/>
        <v>0</v>
      </c>
      <c r="S53" s="467">
        <f t="shared" si="57"/>
        <v>0</v>
      </c>
      <c r="T53" s="467">
        <f t="shared" si="57"/>
        <v>0</v>
      </c>
      <c r="U53" s="467">
        <f t="shared" si="57"/>
        <v>0</v>
      </c>
      <c r="V53" s="467">
        <f t="shared" si="57"/>
        <v>0</v>
      </c>
      <c r="W53" s="467">
        <f t="shared" si="57"/>
        <v>0</v>
      </c>
      <c r="X53" s="4003"/>
      <c r="Y53" s="4640"/>
    </row>
    <row r="54" spans="1:29" ht="13.5" hidden="1" customHeight="1" thickBot="1">
      <c r="A54" s="4346"/>
      <c r="B54" s="1770" t="s">
        <v>33</v>
      </c>
      <c r="C54" s="4126"/>
      <c r="D54" s="473">
        <f>+M54+O54+P54+Q54+R54+S54+T54+U54+V54+W54</f>
        <v>0</v>
      </c>
      <c r="E54" s="498">
        <v>0</v>
      </c>
      <c r="F54" s="499"/>
      <c r="G54" s="498"/>
      <c r="H54" s="498"/>
      <c r="I54" s="498">
        <v>0</v>
      </c>
      <c r="J54" s="498">
        <v>0</v>
      </c>
      <c r="K54" s="498">
        <f>42390-42390</f>
        <v>0</v>
      </c>
      <c r="L54" s="498">
        <v>0</v>
      </c>
      <c r="M54" s="463">
        <v>0</v>
      </c>
      <c r="N54" s="499">
        <f>744560+201404+232946-820695</f>
        <v>358215</v>
      </c>
      <c r="O54" s="498">
        <v>0</v>
      </c>
      <c r="P54" s="498">
        <v>0</v>
      </c>
      <c r="Q54" s="498">
        <v>0</v>
      </c>
      <c r="R54" s="498">
        <v>0</v>
      </c>
      <c r="S54" s="498">
        <v>0</v>
      </c>
      <c r="T54" s="498">
        <v>0</v>
      </c>
      <c r="U54" s="498">
        <v>0</v>
      </c>
      <c r="V54" s="498">
        <v>0</v>
      </c>
      <c r="W54" s="498">
        <v>0</v>
      </c>
      <c r="X54" s="4004"/>
      <c r="Y54" s="4665"/>
    </row>
    <row r="55" spans="1:29" s="1769" customFormat="1" ht="38.25" customHeight="1">
      <c r="A55" s="4344" t="s">
        <v>80</v>
      </c>
      <c r="B55" s="833" t="s">
        <v>458</v>
      </c>
      <c r="C55" s="1766" t="s">
        <v>266</v>
      </c>
      <c r="D55" s="846"/>
      <c r="E55" s="775"/>
      <c r="F55" s="775"/>
      <c r="G55" s="775"/>
      <c r="H55" s="775"/>
      <c r="I55" s="775"/>
      <c r="J55" s="775"/>
      <c r="K55" s="775"/>
      <c r="L55" s="836"/>
      <c r="M55" s="836"/>
      <c r="N55" s="836"/>
      <c r="O55" s="836"/>
      <c r="P55" s="837"/>
      <c r="Q55" s="837"/>
      <c r="R55" s="837"/>
      <c r="S55" s="837"/>
      <c r="T55" s="836"/>
      <c r="U55" s="836"/>
      <c r="V55" s="836"/>
      <c r="W55" s="836"/>
      <c r="X55" s="838"/>
      <c r="Y55" s="4390" t="s">
        <v>408</v>
      </c>
    </row>
    <row r="56" spans="1:29" s="1066" customFormat="1" ht="15.75" customHeight="1">
      <c r="A56" s="4345"/>
      <c r="B56" s="406" t="s">
        <v>22</v>
      </c>
      <c r="C56" s="382"/>
      <c r="D56" s="874">
        <f>+D59+D57</f>
        <v>2803921</v>
      </c>
      <c r="E56" s="874">
        <f t="shared" ref="E56:N56" si="58">+E59</f>
        <v>0</v>
      </c>
      <c r="F56" s="874">
        <f t="shared" si="58"/>
        <v>0</v>
      </c>
      <c r="G56" s="874">
        <f t="shared" si="58"/>
        <v>0</v>
      </c>
      <c r="H56" s="874">
        <f t="shared" si="58"/>
        <v>0</v>
      </c>
      <c r="I56" s="874">
        <f t="shared" si="58"/>
        <v>0</v>
      </c>
      <c r="J56" s="874">
        <f t="shared" si="58"/>
        <v>0</v>
      </c>
      <c r="K56" s="874">
        <f t="shared" si="58"/>
        <v>532248</v>
      </c>
      <c r="L56" s="874">
        <f t="shared" si="58"/>
        <v>904690</v>
      </c>
      <c r="M56" s="874">
        <f t="shared" si="58"/>
        <v>2464976</v>
      </c>
      <c r="N56" s="874">
        <f t="shared" si="58"/>
        <v>1028038</v>
      </c>
      <c r="O56" s="874">
        <f>+O59+O57</f>
        <v>338945</v>
      </c>
      <c r="P56" s="874">
        <f t="shared" ref="P56:W56" si="59">+P59</f>
        <v>0</v>
      </c>
      <c r="Q56" s="874">
        <f t="shared" si="59"/>
        <v>0</v>
      </c>
      <c r="R56" s="874">
        <f t="shared" si="59"/>
        <v>0</v>
      </c>
      <c r="S56" s="874">
        <f t="shared" si="59"/>
        <v>0</v>
      </c>
      <c r="T56" s="874">
        <f t="shared" si="59"/>
        <v>0</v>
      </c>
      <c r="U56" s="874">
        <f t="shared" si="59"/>
        <v>0</v>
      </c>
      <c r="V56" s="874">
        <f t="shared" si="59"/>
        <v>0</v>
      </c>
      <c r="W56" s="874">
        <f t="shared" si="59"/>
        <v>0</v>
      </c>
      <c r="X56" s="487">
        <f t="shared" ref="X56" si="60">+X59</f>
        <v>0</v>
      </c>
      <c r="Y56" s="4639"/>
    </row>
    <row r="57" spans="1:29" s="1769" customFormat="1" ht="15.75" hidden="1" customHeight="1">
      <c r="A57" s="4345"/>
      <c r="B57" s="889" t="s">
        <v>36</v>
      </c>
      <c r="C57" s="4129" t="s">
        <v>264</v>
      </c>
      <c r="D57" s="466">
        <f>D58</f>
        <v>0</v>
      </c>
      <c r="E57" s="467"/>
      <c r="F57" s="467"/>
      <c r="G57" s="467"/>
      <c r="H57" s="467"/>
      <c r="I57" s="571"/>
      <c r="J57" s="571"/>
      <c r="K57" s="571"/>
      <c r="L57" s="571"/>
      <c r="M57" s="571">
        <f>M58</f>
        <v>0</v>
      </c>
      <c r="N57" s="577">
        <f>N58</f>
        <v>0</v>
      </c>
      <c r="O57" s="577">
        <f>O58</f>
        <v>0</v>
      </c>
      <c r="P57" s="577"/>
      <c r="Q57" s="577"/>
      <c r="R57" s="577"/>
      <c r="S57" s="577"/>
      <c r="T57" s="577"/>
      <c r="U57" s="577"/>
      <c r="V57" s="577"/>
      <c r="W57" s="577"/>
      <c r="X57" s="509"/>
      <c r="Y57" s="4639"/>
    </row>
    <row r="58" spans="1:29" s="1769" customFormat="1" ht="15.75" hidden="1" customHeight="1">
      <c r="A58" s="4345"/>
      <c r="B58" s="544" t="s">
        <v>24</v>
      </c>
      <c r="C58" s="4136"/>
      <c r="D58" s="460">
        <f>M58+N58+O58</f>
        <v>0</v>
      </c>
      <c r="E58" s="461"/>
      <c r="F58" s="469"/>
      <c r="G58" s="469"/>
      <c r="H58" s="461"/>
      <c r="I58" s="461"/>
      <c r="J58" s="461"/>
      <c r="K58" s="461"/>
      <c r="L58" s="461"/>
      <c r="M58" s="469">
        <v>0</v>
      </c>
      <c r="N58" s="469">
        <v>0</v>
      </c>
      <c r="O58" s="469">
        <v>0</v>
      </c>
      <c r="P58" s="469"/>
      <c r="Q58" s="469"/>
      <c r="R58" s="469"/>
      <c r="S58" s="469"/>
      <c r="T58" s="469"/>
      <c r="U58" s="469"/>
      <c r="V58" s="469"/>
      <c r="W58" s="469"/>
      <c r="X58" s="377"/>
      <c r="Y58" s="4639"/>
    </row>
    <row r="59" spans="1:29" s="1769" customFormat="1" ht="14.25" customHeight="1">
      <c r="A59" s="4345"/>
      <c r="B59" s="560" t="s">
        <v>30</v>
      </c>
      <c r="C59" s="4136"/>
      <c r="D59" s="466">
        <f>+D60</f>
        <v>2803921</v>
      </c>
      <c r="E59" s="467">
        <f t="shared" ref="E59:M59" si="61">+E60</f>
        <v>0</v>
      </c>
      <c r="F59" s="467">
        <f t="shared" si="61"/>
        <v>0</v>
      </c>
      <c r="G59" s="467">
        <f t="shared" si="61"/>
        <v>0</v>
      </c>
      <c r="H59" s="467">
        <f t="shared" si="61"/>
        <v>0</v>
      </c>
      <c r="I59" s="571">
        <f t="shared" si="61"/>
        <v>0</v>
      </c>
      <c r="J59" s="571">
        <f t="shared" si="61"/>
        <v>0</v>
      </c>
      <c r="K59" s="571">
        <f t="shared" si="61"/>
        <v>532248</v>
      </c>
      <c r="L59" s="571">
        <f t="shared" si="61"/>
        <v>904690</v>
      </c>
      <c r="M59" s="571">
        <f t="shared" si="61"/>
        <v>2464976</v>
      </c>
      <c r="N59" s="577">
        <f>N60</f>
        <v>1028038</v>
      </c>
      <c r="O59" s="577">
        <f>O60</f>
        <v>338945</v>
      </c>
      <c r="P59" s="577">
        <f>P60</f>
        <v>0</v>
      </c>
      <c r="Q59" s="577">
        <f>Q60</f>
        <v>0</v>
      </c>
      <c r="R59" s="577">
        <f t="shared" ref="R59:W59" si="62">R60</f>
        <v>0</v>
      </c>
      <c r="S59" s="577">
        <f t="shared" si="62"/>
        <v>0</v>
      </c>
      <c r="T59" s="577">
        <f t="shared" si="62"/>
        <v>0</v>
      </c>
      <c r="U59" s="577">
        <f t="shared" si="62"/>
        <v>0</v>
      </c>
      <c r="V59" s="577">
        <f t="shared" si="62"/>
        <v>0</v>
      </c>
      <c r="W59" s="577">
        <f t="shared" si="62"/>
        <v>0</v>
      </c>
      <c r="X59" s="509">
        <f>+P59+Q59+R59+S59</f>
        <v>0</v>
      </c>
      <c r="Y59" s="4640"/>
    </row>
    <row r="60" spans="1:29" s="1769" customFormat="1" ht="11.25" customHeight="1">
      <c r="A60" s="4345"/>
      <c r="B60" s="1419" t="s">
        <v>33</v>
      </c>
      <c r="C60" s="4159"/>
      <c r="D60" s="473">
        <f>+M60+O60+P60+Q60+R60+S60+T60+U60+V60+W60</f>
        <v>2803921</v>
      </c>
      <c r="E60" s="461">
        <v>0</v>
      </c>
      <c r="F60" s="469">
        <v>0</v>
      </c>
      <c r="G60" s="469"/>
      <c r="H60" s="461"/>
      <c r="I60" s="461">
        <v>0</v>
      </c>
      <c r="J60" s="461">
        <v>0</v>
      </c>
      <c r="K60" s="461">
        <f>986400-456805+2653</f>
        <v>532248</v>
      </c>
      <c r="L60" s="461">
        <f>2567000-33770-109651-680000-838889</f>
        <v>904690</v>
      </c>
      <c r="M60" s="463">
        <f>+L60+K60+J60+I60+N60</f>
        <v>2464976</v>
      </c>
      <c r="N60" s="469">
        <f>2387000+566456+680000+836236-14000-3368388-59237-29</f>
        <v>1028038</v>
      </c>
      <c r="O60" s="469">
        <f>426175-48313-38917</f>
        <v>338945</v>
      </c>
      <c r="P60" s="469">
        <v>0</v>
      </c>
      <c r="Q60" s="469">
        <v>0</v>
      </c>
      <c r="R60" s="469">
        <v>0</v>
      </c>
      <c r="S60" s="469">
        <v>0</v>
      </c>
      <c r="T60" s="469">
        <v>0</v>
      </c>
      <c r="U60" s="469">
        <v>0</v>
      </c>
      <c r="V60" s="469">
        <v>0</v>
      </c>
      <c r="W60" s="469">
        <v>0</v>
      </c>
      <c r="X60" s="377">
        <f>P60+Q60+R60</f>
        <v>0</v>
      </c>
      <c r="Y60" s="4640"/>
    </row>
    <row r="61" spans="1:29" s="1769" customFormat="1" ht="15.75" customHeight="1">
      <c r="A61" s="4345"/>
      <c r="B61" s="381" t="s">
        <v>34</v>
      </c>
      <c r="C61" s="382"/>
      <c r="D61" s="471">
        <f>+D62</f>
        <v>2803921</v>
      </c>
      <c r="E61" s="471">
        <f t="shared" ref="E61:N62" si="63">+E62</f>
        <v>0</v>
      </c>
      <c r="F61" s="471">
        <f t="shared" si="63"/>
        <v>0</v>
      </c>
      <c r="G61" s="471">
        <f t="shared" si="63"/>
        <v>0</v>
      </c>
      <c r="H61" s="471">
        <f t="shared" si="63"/>
        <v>0</v>
      </c>
      <c r="I61" s="471">
        <f t="shared" si="63"/>
        <v>0</v>
      </c>
      <c r="J61" s="471">
        <f t="shared" si="63"/>
        <v>0</v>
      </c>
      <c r="K61" s="471">
        <f t="shared" si="63"/>
        <v>85912</v>
      </c>
      <c r="L61" s="471">
        <f t="shared" si="63"/>
        <v>1140250</v>
      </c>
      <c r="M61" s="471">
        <f t="shared" si="63"/>
        <v>1972986</v>
      </c>
      <c r="N61" s="471">
        <f t="shared" si="63"/>
        <v>746824</v>
      </c>
      <c r="O61" s="471">
        <f t="shared" ref="O61:W62" si="64">O62</f>
        <v>830935</v>
      </c>
      <c r="P61" s="471">
        <f t="shared" si="64"/>
        <v>0</v>
      </c>
      <c r="Q61" s="471">
        <f t="shared" si="64"/>
        <v>0</v>
      </c>
      <c r="R61" s="471">
        <f t="shared" si="64"/>
        <v>0</v>
      </c>
      <c r="S61" s="471">
        <f t="shared" si="64"/>
        <v>0</v>
      </c>
      <c r="T61" s="471">
        <f t="shared" si="64"/>
        <v>0</v>
      </c>
      <c r="U61" s="471">
        <f t="shared" si="64"/>
        <v>0</v>
      </c>
      <c r="V61" s="471">
        <f t="shared" si="64"/>
        <v>0</v>
      </c>
      <c r="W61" s="471">
        <f t="shared" si="64"/>
        <v>0</v>
      </c>
      <c r="X61" s="4002" t="s">
        <v>77</v>
      </c>
      <c r="Y61" s="4640"/>
      <c r="Z61" s="1056">
        <f>'[3]Tab. 6H - Kultura fiz. i turyst'!$D$59-D61</f>
        <v>38946</v>
      </c>
    </row>
    <row r="62" spans="1:29" s="1769" customFormat="1" ht="12.75">
      <c r="A62" s="4345"/>
      <c r="B62" s="779" t="s">
        <v>30</v>
      </c>
      <c r="C62" s="4174" t="s">
        <v>102</v>
      </c>
      <c r="D62" s="466">
        <f>+D63</f>
        <v>2803921</v>
      </c>
      <c r="E62" s="467">
        <f t="shared" si="63"/>
        <v>0</v>
      </c>
      <c r="F62" s="467">
        <f t="shared" si="63"/>
        <v>0</v>
      </c>
      <c r="G62" s="467">
        <f t="shared" si="63"/>
        <v>0</v>
      </c>
      <c r="H62" s="467">
        <f t="shared" si="63"/>
        <v>0</v>
      </c>
      <c r="I62" s="467">
        <f t="shared" si="63"/>
        <v>0</v>
      </c>
      <c r="J62" s="467">
        <f t="shared" si="63"/>
        <v>0</v>
      </c>
      <c r="K62" s="467">
        <f t="shared" si="63"/>
        <v>85912</v>
      </c>
      <c r="L62" s="467">
        <f t="shared" si="63"/>
        <v>1140250</v>
      </c>
      <c r="M62" s="467">
        <f t="shared" si="63"/>
        <v>1972986</v>
      </c>
      <c r="N62" s="467">
        <f t="shared" si="63"/>
        <v>746824</v>
      </c>
      <c r="O62" s="467">
        <f t="shared" si="64"/>
        <v>830935</v>
      </c>
      <c r="P62" s="467">
        <f t="shared" si="64"/>
        <v>0</v>
      </c>
      <c r="Q62" s="467">
        <f t="shared" si="64"/>
        <v>0</v>
      </c>
      <c r="R62" s="467">
        <f t="shared" si="64"/>
        <v>0</v>
      </c>
      <c r="S62" s="467">
        <f t="shared" si="64"/>
        <v>0</v>
      </c>
      <c r="T62" s="467">
        <f t="shared" si="64"/>
        <v>0</v>
      </c>
      <c r="U62" s="467">
        <f t="shared" si="64"/>
        <v>0</v>
      </c>
      <c r="V62" s="467">
        <f t="shared" si="64"/>
        <v>0</v>
      </c>
      <c r="W62" s="467">
        <f t="shared" si="64"/>
        <v>0</v>
      </c>
      <c r="X62" s="4003"/>
      <c r="Y62" s="4640"/>
    </row>
    <row r="63" spans="1:29" s="1769" customFormat="1" ht="12" customHeight="1" thickBot="1">
      <c r="A63" s="4346"/>
      <c r="B63" s="1770" t="s">
        <v>33</v>
      </c>
      <c r="C63" s="4126"/>
      <c r="D63" s="473">
        <f>+M63+O63+P63+Q63+R63+S63+T63+U63+V63+W63</f>
        <v>2803921</v>
      </c>
      <c r="E63" s="498">
        <v>0</v>
      </c>
      <c r="F63" s="499"/>
      <c r="G63" s="498"/>
      <c r="H63" s="498"/>
      <c r="I63" s="498">
        <v>0</v>
      </c>
      <c r="J63" s="498">
        <v>0</v>
      </c>
      <c r="K63" s="498">
        <f>986400-324740-575748</f>
        <v>85912</v>
      </c>
      <c r="L63" s="498">
        <f>2567000-256800-33770-1255748+119552+16</f>
        <v>1140250</v>
      </c>
      <c r="M63" s="463">
        <f>+L63+K63+J63+I63+N63</f>
        <v>1972986</v>
      </c>
      <c r="N63" s="499">
        <f>2387000-387000+1255748+456196-2963044-2076</f>
        <v>746824</v>
      </c>
      <c r="O63" s="498">
        <f>968540-14000+20816+15-105474-38962</f>
        <v>830935</v>
      </c>
      <c r="P63" s="498">
        <v>0</v>
      </c>
      <c r="Q63" s="498">
        <v>0</v>
      </c>
      <c r="R63" s="498">
        <v>0</v>
      </c>
      <c r="S63" s="498">
        <v>0</v>
      </c>
      <c r="T63" s="498">
        <v>0</v>
      </c>
      <c r="U63" s="498">
        <v>0</v>
      </c>
      <c r="V63" s="498">
        <v>0</v>
      </c>
      <c r="W63" s="498">
        <v>0</v>
      </c>
      <c r="X63" s="4004"/>
      <c r="Y63" s="4356"/>
    </row>
    <row r="64" spans="1:29" s="1769" customFormat="1" ht="39.75" customHeight="1">
      <c r="A64" s="4344" t="s">
        <v>81</v>
      </c>
      <c r="B64" s="833" t="s">
        <v>431</v>
      </c>
      <c r="C64" s="1766" t="s">
        <v>98</v>
      </c>
      <c r="D64" s="846"/>
      <c r="E64" s="775"/>
      <c r="F64" s="775"/>
      <c r="G64" s="775"/>
      <c r="H64" s="775"/>
      <c r="I64" s="775"/>
      <c r="J64" s="775"/>
      <c r="K64" s="775"/>
      <c r="L64" s="836"/>
      <c r="M64" s="836"/>
      <c r="N64" s="836"/>
      <c r="O64" s="836"/>
      <c r="P64" s="837"/>
      <c r="Q64" s="837"/>
      <c r="R64" s="837"/>
      <c r="S64" s="837"/>
      <c r="T64" s="836"/>
      <c r="U64" s="836"/>
      <c r="V64" s="836"/>
      <c r="W64" s="836"/>
      <c r="X64" s="838"/>
      <c r="Y64" s="4390" t="s">
        <v>408</v>
      </c>
    </row>
    <row r="65" spans="1:26" s="1769" customFormat="1" ht="14.25" customHeight="1">
      <c r="A65" s="4345"/>
      <c r="B65" s="1746" t="s">
        <v>22</v>
      </c>
      <c r="C65" s="382"/>
      <c r="D65" s="1729">
        <f t="shared" ref="D65:X66" si="65">+D66</f>
        <v>33770</v>
      </c>
      <c r="E65" s="1729">
        <f t="shared" si="65"/>
        <v>0</v>
      </c>
      <c r="F65" s="1729">
        <f t="shared" si="65"/>
        <v>0</v>
      </c>
      <c r="G65" s="1729">
        <f t="shared" si="65"/>
        <v>0</v>
      </c>
      <c r="H65" s="1729">
        <f t="shared" si="65"/>
        <v>0</v>
      </c>
      <c r="I65" s="1729">
        <f t="shared" si="65"/>
        <v>0</v>
      </c>
      <c r="J65" s="1729">
        <f t="shared" si="65"/>
        <v>0</v>
      </c>
      <c r="K65" s="1729">
        <f t="shared" si="65"/>
        <v>0</v>
      </c>
      <c r="L65" s="1729">
        <f t="shared" si="65"/>
        <v>33770</v>
      </c>
      <c r="M65" s="1729">
        <f t="shared" si="65"/>
        <v>33770</v>
      </c>
      <c r="N65" s="1729">
        <f t="shared" si="65"/>
        <v>0</v>
      </c>
      <c r="O65" s="1729">
        <f t="shared" si="65"/>
        <v>0</v>
      </c>
      <c r="P65" s="1729">
        <f t="shared" si="65"/>
        <v>0</v>
      </c>
      <c r="Q65" s="1729">
        <f t="shared" si="65"/>
        <v>0</v>
      </c>
      <c r="R65" s="1729">
        <f t="shared" si="65"/>
        <v>0</v>
      </c>
      <c r="S65" s="1729">
        <f t="shared" si="65"/>
        <v>0</v>
      </c>
      <c r="T65" s="1729">
        <f t="shared" si="65"/>
        <v>0</v>
      </c>
      <c r="U65" s="1729">
        <f t="shared" si="65"/>
        <v>0</v>
      </c>
      <c r="V65" s="1729">
        <f t="shared" si="65"/>
        <v>0</v>
      </c>
      <c r="W65" s="1729">
        <f t="shared" si="65"/>
        <v>0</v>
      </c>
      <c r="X65" s="1725">
        <f t="shared" si="65"/>
        <v>0</v>
      </c>
      <c r="Y65" s="4639"/>
    </row>
    <row r="66" spans="1:26" s="1769" customFormat="1" ht="14.25" customHeight="1">
      <c r="A66" s="4345"/>
      <c r="B66" s="1747" t="s">
        <v>30</v>
      </c>
      <c r="C66" s="4643" t="s">
        <v>264</v>
      </c>
      <c r="D66" s="1727">
        <f t="shared" si="65"/>
        <v>33770</v>
      </c>
      <c r="E66" s="1728">
        <f t="shared" si="65"/>
        <v>0</v>
      </c>
      <c r="F66" s="1728">
        <f t="shared" si="65"/>
        <v>0</v>
      </c>
      <c r="G66" s="1728">
        <f t="shared" si="65"/>
        <v>0</v>
      </c>
      <c r="H66" s="1728">
        <f t="shared" si="65"/>
        <v>0</v>
      </c>
      <c r="I66" s="1748">
        <f t="shared" si="65"/>
        <v>0</v>
      </c>
      <c r="J66" s="1748">
        <f t="shared" si="65"/>
        <v>0</v>
      </c>
      <c r="K66" s="1748">
        <f t="shared" si="65"/>
        <v>0</v>
      </c>
      <c r="L66" s="1748">
        <f t="shared" si="65"/>
        <v>33770</v>
      </c>
      <c r="M66" s="1748">
        <f t="shared" si="65"/>
        <v>33770</v>
      </c>
      <c r="N66" s="1749">
        <f>N67</f>
        <v>0</v>
      </c>
      <c r="O66" s="1749">
        <v>0</v>
      </c>
      <c r="P66" s="1749">
        <v>0</v>
      </c>
      <c r="Q66" s="1749">
        <v>0</v>
      </c>
      <c r="R66" s="1749">
        <v>0</v>
      </c>
      <c r="S66" s="1749">
        <v>0</v>
      </c>
      <c r="T66" s="1749">
        <v>0</v>
      </c>
      <c r="U66" s="1749">
        <v>0</v>
      </c>
      <c r="V66" s="1749">
        <v>0</v>
      </c>
      <c r="W66" s="1749">
        <v>0</v>
      </c>
      <c r="X66" s="1697">
        <f t="shared" si="65"/>
        <v>0</v>
      </c>
      <c r="Y66" s="4640"/>
    </row>
    <row r="67" spans="1:26" s="1769" customFormat="1" ht="11.25" customHeight="1">
      <c r="A67" s="4345"/>
      <c r="B67" s="1419" t="s">
        <v>33</v>
      </c>
      <c r="C67" s="4130"/>
      <c r="D67" s="1723">
        <f>+M67+O67+P67+Q67+R67+S67+T67+U67+V67+W67</f>
        <v>33770</v>
      </c>
      <c r="E67" s="1705">
        <v>0</v>
      </c>
      <c r="F67" s="1726">
        <v>0</v>
      </c>
      <c r="G67" s="1726"/>
      <c r="H67" s="1705"/>
      <c r="I67" s="1705">
        <v>0</v>
      </c>
      <c r="J67" s="1705">
        <v>0</v>
      </c>
      <c r="K67" s="1705">
        <v>0</v>
      </c>
      <c r="L67" s="1705">
        <v>33770</v>
      </c>
      <c r="M67" s="1701">
        <f>+L67+K67+J67+I67+N67</f>
        <v>33770</v>
      </c>
      <c r="N67" s="1726">
        <f>14000-14000</f>
        <v>0</v>
      </c>
      <c r="O67" s="1726">
        <v>0</v>
      </c>
      <c r="P67" s="1726">
        <v>0</v>
      </c>
      <c r="Q67" s="1726">
        <v>0</v>
      </c>
      <c r="R67" s="1726">
        <v>0</v>
      </c>
      <c r="S67" s="1726">
        <v>0</v>
      </c>
      <c r="T67" s="1726">
        <v>0</v>
      </c>
      <c r="U67" s="1726">
        <v>0</v>
      </c>
      <c r="V67" s="1726">
        <v>0</v>
      </c>
      <c r="W67" s="1726">
        <v>0</v>
      </c>
      <c r="X67" s="1745">
        <f>+P67+Q67+R67+S67</f>
        <v>0</v>
      </c>
      <c r="Y67" s="4640"/>
    </row>
    <row r="68" spans="1:26" s="1769" customFormat="1" ht="13.5" customHeight="1">
      <c r="A68" s="4345"/>
      <c r="B68" s="381" t="s">
        <v>34</v>
      </c>
      <c r="C68" s="382"/>
      <c r="D68" s="1729">
        <f>+D69</f>
        <v>33770</v>
      </c>
      <c r="E68" s="1729">
        <f t="shared" ref="E68:N69" si="66">+E69</f>
        <v>0</v>
      </c>
      <c r="F68" s="1729">
        <f t="shared" si="66"/>
        <v>0</v>
      </c>
      <c r="G68" s="1729">
        <f t="shared" si="66"/>
        <v>0</v>
      </c>
      <c r="H68" s="1729">
        <f t="shared" si="66"/>
        <v>0</v>
      </c>
      <c r="I68" s="1729">
        <f t="shared" si="66"/>
        <v>0</v>
      </c>
      <c r="J68" s="1729">
        <f t="shared" si="66"/>
        <v>0</v>
      </c>
      <c r="K68" s="1729">
        <f t="shared" si="66"/>
        <v>0</v>
      </c>
      <c r="L68" s="1729">
        <f t="shared" si="66"/>
        <v>33770</v>
      </c>
      <c r="M68" s="1729">
        <f t="shared" si="66"/>
        <v>33770</v>
      </c>
      <c r="N68" s="1729">
        <f t="shared" si="66"/>
        <v>0</v>
      </c>
      <c r="O68" s="1729">
        <f t="shared" ref="O68:W69" si="67">O69</f>
        <v>0</v>
      </c>
      <c r="P68" s="1729">
        <f t="shared" si="67"/>
        <v>0</v>
      </c>
      <c r="Q68" s="1729">
        <f t="shared" si="67"/>
        <v>0</v>
      </c>
      <c r="R68" s="1729">
        <f t="shared" si="67"/>
        <v>0</v>
      </c>
      <c r="S68" s="1729">
        <f t="shared" si="67"/>
        <v>0</v>
      </c>
      <c r="T68" s="1729">
        <f t="shared" si="67"/>
        <v>0</v>
      </c>
      <c r="U68" s="1729">
        <f t="shared" si="67"/>
        <v>0</v>
      </c>
      <c r="V68" s="1729">
        <f t="shared" si="67"/>
        <v>0</v>
      </c>
      <c r="W68" s="1729">
        <f t="shared" si="67"/>
        <v>0</v>
      </c>
      <c r="X68" s="4642" t="s">
        <v>77</v>
      </c>
      <c r="Y68" s="4640"/>
    </row>
    <row r="69" spans="1:26" s="1769" customFormat="1" ht="12" customHeight="1">
      <c r="A69" s="4345"/>
      <c r="B69" s="779" t="s">
        <v>30</v>
      </c>
      <c r="C69" s="4641" t="s">
        <v>102</v>
      </c>
      <c r="D69" s="1727">
        <f>+D70</f>
        <v>33770</v>
      </c>
      <c r="E69" s="1728">
        <f t="shared" si="66"/>
        <v>0</v>
      </c>
      <c r="F69" s="1728">
        <f t="shared" si="66"/>
        <v>0</v>
      </c>
      <c r="G69" s="1728">
        <f t="shared" si="66"/>
        <v>0</v>
      </c>
      <c r="H69" s="1728">
        <f t="shared" si="66"/>
        <v>0</v>
      </c>
      <c r="I69" s="1728">
        <f t="shared" si="66"/>
        <v>0</v>
      </c>
      <c r="J69" s="1728">
        <f t="shared" si="66"/>
        <v>0</v>
      </c>
      <c r="K69" s="1728">
        <f t="shared" si="66"/>
        <v>0</v>
      </c>
      <c r="L69" s="1728">
        <f t="shared" si="66"/>
        <v>33770</v>
      </c>
      <c r="M69" s="1728">
        <f t="shared" si="66"/>
        <v>33770</v>
      </c>
      <c r="N69" s="1728">
        <f t="shared" si="66"/>
        <v>0</v>
      </c>
      <c r="O69" s="1728">
        <f t="shared" si="67"/>
        <v>0</v>
      </c>
      <c r="P69" s="1728">
        <f t="shared" si="67"/>
        <v>0</v>
      </c>
      <c r="Q69" s="1728">
        <f t="shared" si="67"/>
        <v>0</v>
      </c>
      <c r="R69" s="1728">
        <f t="shared" si="67"/>
        <v>0</v>
      </c>
      <c r="S69" s="1728">
        <f t="shared" si="67"/>
        <v>0</v>
      </c>
      <c r="T69" s="1728">
        <f t="shared" si="67"/>
        <v>0</v>
      </c>
      <c r="U69" s="1728">
        <f t="shared" si="67"/>
        <v>0</v>
      </c>
      <c r="V69" s="1728">
        <f t="shared" si="67"/>
        <v>0</v>
      </c>
      <c r="W69" s="1728">
        <f t="shared" si="67"/>
        <v>0</v>
      </c>
      <c r="X69" s="4003"/>
      <c r="Y69" s="4640"/>
    </row>
    <row r="70" spans="1:26" s="1769" customFormat="1" ht="13.5" thickBot="1">
      <c r="A70" s="4346"/>
      <c r="B70" s="1770" t="s">
        <v>33</v>
      </c>
      <c r="C70" s="4126"/>
      <c r="D70" s="540">
        <f>+M70+O70+P70+Q70+R70+S70+T70+U70+V70+W70</f>
        <v>33770</v>
      </c>
      <c r="E70" s="498">
        <v>0</v>
      </c>
      <c r="F70" s="499"/>
      <c r="G70" s="498"/>
      <c r="H70" s="498"/>
      <c r="I70" s="498">
        <v>0</v>
      </c>
      <c r="J70" s="498">
        <v>0</v>
      </c>
      <c r="K70" s="498">
        <v>0</v>
      </c>
      <c r="L70" s="498">
        <v>33770</v>
      </c>
      <c r="M70" s="498">
        <f>+L70+K70+J70+I70+N70</f>
        <v>33770</v>
      </c>
      <c r="N70" s="499">
        <v>0</v>
      </c>
      <c r="O70" s="498">
        <f>14000-14000</f>
        <v>0</v>
      </c>
      <c r="P70" s="498">
        <v>0</v>
      </c>
      <c r="Q70" s="498">
        <v>0</v>
      </c>
      <c r="R70" s="498">
        <v>0</v>
      </c>
      <c r="S70" s="498">
        <v>0</v>
      </c>
      <c r="T70" s="498">
        <v>0</v>
      </c>
      <c r="U70" s="498">
        <v>0</v>
      </c>
      <c r="V70" s="498">
        <v>0</v>
      </c>
      <c r="W70" s="498">
        <v>0</v>
      </c>
      <c r="X70" s="4004"/>
      <c r="Y70" s="4512"/>
    </row>
    <row r="71" spans="1:26" s="1769" customFormat="1" ht="30" customHeight="1">
      <c r="A71" s="4663" t="s">
        <v>82</v>
      </c>
      <c r="B71" s="1788" t="s">
        <v>568</v>
      </c>
      <c r="C71" s="1789" t="s">
        <v>266</v>
      </c>
      <c r="D71" s="1790"/>
      <c r="E71" s="1791"/>
      <c r="F71" s="1791"/>
      <c r="G71" s="1791"/>
      <c r="H71" s="1791"/>
      <c r="I71" s="1791"/>
      <c r="J71" s="1791"/>
      <c r="K71" s="1791"/>
      <c r="L71" s="1792"/>
      <c r="M71" s="1792"/>
      <c r="N71" s="1792"/>
      <c r="O71" s="1792"/>
      <c r="P71" s="1793"/>
      <c r="Q71" s="1793"/>
      <c r="R71" s="1793"/>
      <c r="S71" s="1793"/>
      <c r="T71" s="1792"/>
      <c r="U71" s="1792"/>
      <c r="V71" s="1792"/>
      <c r="W71" s="1792"/>
      <c r="X71" s="1794"/>
      <c r="Y71" s="4384" t="s">
        <v>408</v>
      </c>
    </row>
    <row r="72" spans="1:26" s="1769" customFormat="1" ht="12.75">
      <c r="A72" s="4656"/>
      <c r="B72" s="1795" t="s">
        <v>22</v>
      </c>
      <c r="C72" s="1796"/>
      <c r="D72" s="1797">
        <f t="shared" ref="D72:X73" si="68">+D73</f>
        <v>5724609</v>
      </c>
      <c r="E72" s="1797">
        <f t="shared" si="68"/>
        <v>0</v>
      </c>
      <c r="F72" s="1797">
        <f t="shared" si="68"/>
        <v>0</v>
      </c>
      <c r="G72" s="1797">
        <f t="shared" si="68"/>
        <v>0</v>
      </c>
      <c r="H72" s="1797">
        <f t="shared" si="68"/>
        <v>0</v>
      </c>
      <c r="I72" s="1797">
        <f t="shared" si="68"/>
        <v>0</v>
      </c>
      <c r="J72" s="1797">
        <f t="shared" si="68"/>
        <v>0</v>
      </c>
      <c r="K72" s="1797">
        <f t="shared" si="68"/>
        <v>0</v>
      </c>
      <c r="L72" s="1797">
        <f t="shared" si="68"/>
        <v>1002000</v>
      </c>
      <c r="M72" s="1797">
        <f t="shared" si="68"/>
        <v>1954679</v>
      </c>
      <c r="N72" s="1797">
        <f t="shared" si="68"/>
        <v>952679</v>
      </c>
      <c r="O72" s="1797">
        <f t="shared" si="68"/>
        <v>3769930</v>
      </c>
      <c r="P72" s="1797">
        <f t="shared" si="68"/>
        <v>0</v>
      </c>
      <c r="Q72" s="1797">
        <f t="shared" si="68"/>
        <v>0</v>
      </c>
      <c r="R72" s="1797">
        <f t="shared" si="68"/>
        <v>0</v>
      </c>
      <c r="S72" s="1797">
        <f t="shared" si="68"/>
        <v>0</v>
      </c>
      <c r="T72" s="1797">
        <f t="shared" si="68"/>
        <v>0</v>
      </c>
      <c r="U72" s="1797">
        <f t="shared" si="68"/>
        <v>0</v>
      </c>
      <c r="V72" s="1797">
        <f t="shared" si="68"/>
        <v>0</v>
      </c>
      <c r="W72" s="1797">
        <f t="shared" si="68"/>
        <v>0</v>
      </c>
      <c r="X72" s="1798">
        <f t="shared" si="68"/>
        <v>0</v>
      </c>
      <c r="Y72" s="4658"/>
    </row>
    <row r="73" spans="1:26" s="1769" customFormat="1" ht="12.75" customHeight="1">
      <c r="A73" s="4656"/>
      <c r="B73" s="1349" t="s">
        <v>30</v>
      </c>
      <c r="C73" s="4108" t="s">
        <v>264</v>
      </c>
      <c r="D73" s="1811">
        <f t="shared" si="68"/>
        <v>5724609</v>
      </c>
      <c r="E73" s="1812">
        <f t="shared" si="68"/>
        <v>0</v>
      </c>
      <c r="F73" s="1812">
        <f t="shared" si="68"/>
        <v>0</v>
      </c>
      <c r="G73" s="1812">
        <f t="shared" si="68"/>
        <v>0</v>
      </c>
      <c r="H73" s="1812">
        <f t="shared" si="68"/>
        <v>0</v>
      </c>
      <c r="I73" s="1813">
        <f t="shared" si="68"/>
        <v>0</v>
      </c>
      <c r="J73" s="1813">
        <f t="shared" si="68"/>
        <v>0</v>
      </c>
      <c r="K73" s="1813">
        <f t="shared" si="68"/>
        <v>0</v>
      </c>
      <c r="L73" s="1813">
        <f t="shared" si="68"/>
        <v>1002000</v>
      </c>
      <c r="M73" s="1813">
        <f t="shared" si="68"/>
        <v>1954679</v>
      </c>
      <c r="N73" s="1814">
        <f>N74</f>
        <v>952679</v>
      </c>
      <c r="O73" s="1814">
        <f>O74</f>
        <v>3769930</v>
      </c>
      <c r="P73" s="1814">
        <v>0</v>
      </c>
      <c r="Q73" s="1814">
        <v>0</v>
      </c>
      <c r="R73" s="1814">
        <v>0</v>
      </c>
      <c r="S73" s="1814">
        <v>0</v>
      </c>
      <c r="T73" s="1814">
        <v>0</v>
      </c>
      <c r="U73" s="1814">
        <v>0</v>
      </c>
      <c r="V73" s="1814">
        <v>0</v>
      </c>
      <c r="W73" s="1814">
        <v>0</v>
      </c>
      <c r="X73" s="1815">
        <f t="shared" si="68"/>
        <v>0</v>
      </c>
      <c r="Y73" s="4659"/>
    </row>
    <row r="74" spans="1:26" s="1769" customFormat="1" ht="12.75">
      <c r="A74" s="4656"/>
      <c r="B74" s="1816" t="s">
        <v>33</v>
      </c>
      <c r="C74" s="4109"/>
      <c r="D74" s="1817">
        <f>+M74+O74+P74+Q74+R74+S74+T74+U74+V74+W74</f>
        <v>5724609</v>
      </c>
      <c r="E74" s="1818">
        <v>0</v>
      </c>
      <c r="F74" s="1819">
        <v>0</v>
      </c>
      <c r="G74" s="1819"/>
      <c r="H74" s="1818"/>
      <c r="I74" s="1818">
        <v>0</v>
      </c>
      <c r="J74" s="1818">
        <v>0</v>
      </c>
      <c r="K74" s="1818">
        <v>0</v>
      </c>
      <c r="L74" s="1818">
        <f>1022296-20296</f>
        <v>1002000</v>
      </c>
      <c r="M74" s="1820">
        <f>+L74+K74+J74+I74+N74</f>
        <v>1954679</v>
      </c>
      <c r="N74" s="1819">
        <f>4227704-1512646-1623959-134824-3596</f>
        <v>952679</v>
      </c>
      <c r="O74" s="1819">
        <f>750000+1532942+1623959+134824-100000-162550-9245</f>
        <v>3769930</v>
      </c>
      <c r="P74" s="1819">
        <v>0</v>
      </c>
      <c r="Q74" s="1819">
        <v>0</v>
      </c>
      <c r="R74" s="1819">
        <v>0</v>
      </c>
      <c r="S74" s="1819">
        <v>0</v>
      </c>
      <c r="T74" s="1819">
        <v>0</v>
      </c>
      <c r="U74" s="1819">
        <v>0</v>
      </c>
      <c r="V74" s="1819">
        <v>0</v>
      </c>
      <c r="W74" s="1819">
        <v>0</v>
      </c>
      <c r="X74" s="1821">
        <f>+P74+Q74+R74+S74</f>
        <v>0</v>
      </c>
      <c r="Y74" s="4659"/>
    </row>
    <row r="75" spans="1:26" s="1769" customFormat="1" ht="12.75">
      <c r="A75" s="4656"/>
      <c r="B75" s="1822" t="s">
        <v>34</v>
      </c>
      <c r="C75" s="1796"/>
      <c r="D75" s="1797">
        <f>+D76</f>
        <v>5724609</v>
      </c>
      <c r="E75" s="1797">
        <f t="shared" ref="E75:N76" si="69">+E76</f>
        <v>0</v>
      </c>
      <c r="F75" s="1797">
        <f t="shared" si="69"/>
        <v>0</v>
      </c>
      <c r="G75" s="1797">
        <f t="shared" si="69"/>
        <v>0</v>
      </c>
      <c r="H75" s="1797">
        <f t="shared" si="69"/>
        <v>0</v>
      </c>
      <c r="I75" s="1797">
        <f t="shared" si="69"/>
        <v>0</v>
      </c>
      <c r="J75" s="1797">
        <f t="shared" si="69"/>
        <v>0</v>
      </c>
      <c r="K75" s="1797">
        <f t="shared" si="69"/>
        <v>0</v>
      </c>
      <c r="L75" s="1797">
        <f t="shared" si="69"/>
        <v>0</v>
      </c>
      <c r="M75" s="1797">
        <f t="shared" si="69"/>
        <v>1220549</v>
      </c>
      <c r="N75" s="1797">
        <f t="shared" si="69"/>
        <v>1220549</v>
      </c>
      <c r="O75" s="1797">
        <f t="shared" ref="O75:W76" si="70">O76</f>
        <v>4179077</v>
      </c>
      <c r="P75" s="1797">
        <f t="shared" si="70"/>
        <v>324983</v>
      </c>
      <c r="Q75" s="1797">
        <f t="shared" si="70"/>
        <v>0</v>
      </c>
      <c r="R75" s="1797">
        <f t="shared" si="70"/>
        <v>0</v>
      </c>
      <c r="S75" s="1797">
        <f t="shared" si="70"/>
        <v>0</v>
      </c>
      <c r="T75" s="1797">
        <f t="shared" si="70"/>
        <v>0</v>
      </c>
      <c r="U75" s="1797">
        <f t="shared" si="70"/>
        <v>0</v>
      </c>
      <c r="V75" s="1797">
        <f t="shared" si="70"/>
        <v>0</v>
      </c>
      <c r="W75" s="1797">
        <f t="shared" si="70"/>
        <v>0</v>
      </c>
      <c r="X75" s="4111" t="s">
        <v>77</v>
      </c>
      <c r="Y75" s="4659"/>
      <c r="Z75" s="1056">
        <f>'[3]Tab. 6H - Kultura fiz. i turyst'!$D$73-D75</f>
        <v>275391</v>
      </c>
    </row>
    <row r="76" spans="1:26" s="1769" customFormat="1" ht="12.75" customHeight="1">
      <c r="A76" s="4656"/>
      <c r="B76" s="1823" t="s">
        <v>30</v>
      </c>
      <c r="C76" s="4158" t="s">
        <v>102</v>
      </c>
      <c r="D76" s="1811">
        <f>+D77</f>
        <v>5724609</v>
      </c>
      <c r="E76" s="1812">
        <f t="shared" si="69"/>
        <v>0</v>
      </c>
      <c r="F76" s="1812">
        <f t="shared" si="69"/>
        <v>0</v>
      </c>
      <c r="G76" s="1812">
        <f t="shared" si="69"/>
        <v>0</v>
      </c>
      <c r="H76" s="1812">
        <f t="shared" si="69"/>
        <v>0</v>
      </c>
      <c r="I76" s="1812">
        <f t="shared" si="69"/>
        <v>0</v>
      </c>
      <c r="J76" s="1812">
        <f t="shared" si="69"/>
        <v>0</v>
      </c>
      <c r="K76" s="1812">
        <f t="shared" si="69"/>
        <v>0</v>
      </c>
      <c r="L76" s="1812">
        <f t="shared" si="69"/>
        <v>0</v>
      </c>
      <c r="M76" s="1812">
        <f t="shared" si="69"/>
        <v>1220549</v>
      </c>
      <c r="N76" s="1812">
        <f t="shared" si="69"/>
        <v>1220549</v>
      </c>
      <c r="O76" s="1812">
        <f t="shared" si="70"/>
        <v>4179077</v>
      </c>
      <c r="P76" s="1812">
        <f t="shared" si="70"/>
        <v>324983</v>
      </c>
      <c r="Q76" s="1812">
        <f t="shared" si="70"/>
        <v>0</v>
      </c>
      <c r="R76" s="1812">
        <f t="shared" si="70"/>
        <v>0</v>
      </c>
      <c r="S76" s="1812">
        <f t="shared" si="70"/>
        <v>0</v>
      </c>
      <c r="T76" s="1812">
        <f t="shared" si="70"/>
        <v>0</v>
      </c>
      <c r="U76" s="1812">
        <f t="shared" si="70"/>
        <v>0</v>
      </c>
      <c r="V76" s="1812">
        <f t="shared" si="70"/>
        <v>0</v>
      </c>
      <c r="W76" s="1812">
        <f t="shared" si="70"/>
        <v>0</v>
      </c>
      <c r="X76" s="4112"/>
      <c r="Y76" s="4659"/>
    </row>
    <row r="77" spans="1:26" s="1769" customFormat="1" ht="13.5" thickBot="1">
      <c r="A77" s="4657"/>
      <c r="B77" s="1824" t="s">
        <v>33</v>
      </c>
      <c r="C77" s="4110"/>
      <c r="D77" s="2726">
        <f>+M77+O77+P77+Q77+R77+S77+T77+U77+V77+W77</f>
        <v>5724609</v>
      </c>
      <c r="E77" s="1825">
        <v>0</v>
      </c>
      <c r="F77" s="1826"/>
      <c r="G77" s="1825"/>
      <c r="H77" s="1825"/>
      <c r="I77" s="1825">
        <v>0</v>
      </c>
      <c r="J77" s="1825">
        <v>0</v>
      </c>
      <c r="K77" s="1825">
        <v>0</v>
      </c>
      <c r="L77" s="1825">
        <v>0</v>
      </c>
      <c r="M77" s="1825">
        <f>+L77+K77+J77+I77+N77</f>
        <v>1220549</v>
      </c>
      <c r="N77" s="1826">
        <f>4217574-1538016-1458955-54-3596+3596</f>
        <v>1220549</v>
      </c>
      <c r="O77" s="1825">
        <f>1782426+1538016+1458955+54-100000-162550-3596-334228</f>
        <v>4179077</v>
      </c>
      <c r="P77" s="1825">
        <v>324983</v>
      </c>
      <c r="Q77" s="1825">
        <v>0</v>
      </c>
      <c r="R77" s="1825">
        <v>0</v>
      </c>
      <c r="S77" s="1825">
        <v>0</v>
      </c>
      <c r="T77" s="1825">
        <v>0</v>
      </c>
      <c r="U77" s="1825">
        <v>0</v>
      </c>
      <c r="V77" s="1825">
        <v>0</v>
      </c>
      <c r="W77" s="1825">
        <v>0</v>
      </c>
      <c r="X77" s="4113"/>
      <c r="Y77" s="4664"/>
    </row>
    <row r="78" spans="1:26" s="1769" customFormat="1" ht="27.75" customHeight="1">
      <c r="A78" s="4655" t="s">
        <v>83</v>
      </c>
      <c r="B78" s="1788" t="s">
        <v>609</v>
      </c>
      <c r="C78" s="1789" t="s">
        <v>266</v>
      </c>
      <c r="D78" s="1790"/>
      <c r="E78" s="1791"/>
      <c r="F78" s="1791"/>
      <c r="G78" s="1791"/>
      <c r="H78" s="1791"/>
      <c r="I78" s="1791"/>
      <c r="J78" s="1791"/>
      <c r="K78" s="1791"/>
      <c r="L78" s="1792"/>
      <c r="M78" s="1792"/>
      <c r="N78" s="1792"/>
      <c r="O78" s="1792"/>
      <c r="P78" s="1793"/>
      <c r="Q78" s="1793"/>
      <c r="R78" s="1793"/>
      <c r="S78" s="1793"/>
      <c r="T78" s="1792"/>
      <c r="U78" s="1792"/>
      <c r="V78" s="1792"/>
      <c r="W78" s="1792"/>
      <c r="X78" s="1794"/>
      <c r="Y78" s="4658" t="s">
        <v>408</v>
      </c>
    </row>
    <row r="79" spans="1:26" s="1769" customFormat="1" ht="12.75">
      <c r="A79" s="4656"/>
      <c r="B79" s="1795" t="s">
        <v>22</v>
      </c>
      <c r="C79" s="1796"/>
      <c r="D79" s="1797">
        <f>I79+J79+K79+L79+N79+O79+P79+Q79+R79</f>
        <v>158934</v>
      </c>
      <c r="E79" s="1797">
        <f t="shared" ref="E79:J79" si="71">+E82</f>
        <v>0</v>
      </c>
      <c r="F79" s="1797">
        <f t="shared" si="71"/>
        <v>0</v>
      </c>
      <c r="G79" s="1797">
        <f t="shared" si="71"/>
        <v>0</v>
      </c>
      <c r="H79" s="1797">
        <f t="shared" si="71"/>
        <v>0</v>
      </c>
      <c r="I79" s="1797">
        <f>+I82</f>
        <v>0</v>
      </c>
      <c r="J79" s="1797">
        <f t="shared" si="71"/>
        <v>0</v>
      </c>
      <c r="K79" s="1797">
        <f>K80+K82</f>
        <v>9565</v>
      </c>
      <c r="L79" s="1797">
        <f>L80+L82</f>
        <v>52827</v>
      </c>
      <c r="M79" s="1797">
        <f>M80+M82</f>
        <v>133659</v>
      </c>
      <c r="N79" s="1797">
        <f>N80+N82</f>
        <v>71267</v>
      </c>
      <c r="O79" s="1797">
        <f>O80+O82</f>
        <v>17034</v>
      </c>
      <c r="P79" s="1797">
        <f t="shared" ref="P79" si="72">P80+P82</f>
        <v>8241</v>
      </c>
      <c r="Q79" s="1797">
        <f t="shared" ref="Q79:W79" si="73">+Q82</f>
        <v>0</v>
      </c>
      <c r="R79" s="1797">
        <f t="shared" si="73"/>
        <v>0</v>
      </c>
      <c r="S79" s="1797">
        <f t="shared" si="73"/>
        <v>0</v>
      </c>
      <c r="T79" s="1797">
        <f t="shared" si="73"/>
        <v>0</v>
      </c>
      <c r="U79" s="1797">
        <f t="shared" si="73"/>
        <v>0</v>
      </c>
      <c r="V79" s="1797">
        <f t="shared" si="73"/>
        <v>0</v>
      </c>
      <c r="W79" s="1797">
        <f t="shared" si="73"/>
        <v>0</v>
      </c>
      <c r="X79" s="1798">
        <f>+X82+X80</f>
        <v>8241</v>
      </c>
      <c r="Y79" s="4658"/>
    </row>
    <row r="80" spans="1:26" s="1787" customFormat="1" ht="14.25" customHeight="1">
      <c r="A80" s="4656"/>
      <c r="B80" s="1799" t="s">
        <v>36</v>
      </c>
      <c r="C80" s="4661" t="s">
        <v>264</v>
      </c>
      <c r="D80" s="1800">
        <f>D81</f>
        <v>31790</v>
      </c>
      <c r="E80" s="1801"/>
      <c r="F80" s="1801"/>
      <c r="G80" s="1801"/>
      <c r="H80" s="1801"/>
      <c r="I80" s="1802"/>
      <c r="J80" s="1802"/>
      <c r="K80" s="1802">
        <f>K81</f>
        <v>901</v>
      </c>
      <c r="L80" s="1802">
        <f t="shared" ref="L80:P80" si="74">L81</f>
        <v>5252</v>
      </c>
      <c r="M80" s="1802">
        <f t="shared" si="74"/>
        <v>18046</v>
      </c>
      <c r="N80" s="1803">
        <f t="shared" si="74"/>
        <v>11893</v>
      </c>
      <c r="O80" s="1803">
        <f t="shared" si="74"/>
        <v>5503</v>
      </c>
      <c r="P80" s="1803">
        <f t="shared" si="74"/>
        <v>8241</v>
      </c>
      <c r="Q80" s="1803"/>
      <c r="R80" s="1803"/>
      <c r="S80" s="1803"/>
      <c r="T80" s="1803"/>
      <c r="U80" s="1803"/>
      <c r="V80" s="1803"/>
      <c r="W80" s="1803"/>
      <c r="X80" s="1804">
        <f>X81</f>
        <v>8241</v>
      </c>
      <c r="Y80" s="4658"/>
    </row>
    <row r="81" spans="1:26" s="1787" customFormat="1" ht="14.25" customHeight="1">
      <c r="A81" s="4656"/>
      <c r="B81" s="1805" t="s">
        <v>24</v>
      </c>
      <c r="C81" s="4152"/>
      <c r="D81" s="1806">
        <f>+M81+O81+P81+Q81+R81+S81+T81+U81+V81+W81</f>
        <v>31790</v>
      </c>
      <c r="E81" s="1807"/>
      <c r="F81" s="1808"/>
      <c r="G81" s="1808"/>
      <c r="H81" s="1807"/>
      <c r="I81" s="1807"/>
      <c r="J81" s="1807"/>
      <c r="K81" s="1807">
        <f>900+1</f>
        <v>901</v>
      </c>
      <c r="L81" s="1807">
        <v>5252</v>
      </c>
      <c r="M81" s="1809">
        <f>+L81+K81+J81+I81+N81</f>
        <v>18046</v>
      </c>
      <c r="N81" s="1808">
        <v>11893</v>
      </c>
      <c r="O81" s="1808">
        <v>5503</v>
      </c>
      <c r="P81" s="1808">
        <v>8241</v>
      </c>
      <c r="Q81" s="1808"/>
      <c r="R81" s="1808"/>
      <c r="S81" s="1808"/>
      <c r="T81" s="1808"/>
      <c r="U81" s="1808"/>
      <c r="V81" s="1808"/>
      <c r="W81" s="1808"/>
      <c r="X81" s="1810">
        <f>+P81+Q81+R81+S81</f>
        <v>8241</v>
      </c>
      <c r="Y81" s="4658"/>
    </row>
    <row r="82" spans="1:26" s="1769" customFormat="1" ht="12.75" customHeight="1">
      <c r="A82" s="4656"/>
      <c r="B82" s="1349" t="s">
        <v>30</v>
      </c>
      <c r="C82" s="4152"/>
      <c r="D82" s="1811">
        <f>I82+J82+K82+L82+N82+O82+P82+Q82+R82</f>
        <v>127144</v>
      </c>
      <c r="E82" s="1812">
        <f t="shared" ref="E82:X82" si="75">+E83</f>
        <v>0</v>
      </c>
      <c r="F82" s="1812">
        <f t="shared" si="75"/>
        <v>0</v>
      </c>
      <c r="G82" s="1812">
        <f t="shared" si="75"/>
        <v>0</v>
      </c>
      <c r="H82" s="1812">
        <f t="shared" si="75"/>
        <v>0</v>
      </c>
      <c r="I82" s="1813">
        <f t="shared" si="75"/>
        <v>0</v>
      </c>
      <c r="J82" s="1813">
        <f t="shared" si="75"/>
        <v>0</v>
      </c>
      <c r="K82" s="1813">
        <f t="shared" si="75"/>
        <v>8664</v>
      </c>
      <c r="L82" s="1813">
        <f t="shared" si="75"/>
        <v>47575</v>
      </c>
      <c r="M82" s="1813">
        <f t="shared" si="75"/>
        <v>115613</v>
      </c>
      <c r="N82" s="1814">
        <f>N83</f>
        <v>59374</v>
      </c>
      <c r="O82" s="1814">
        <f>O83</f>
        <v>11531</v>
      </c>
      <c r="P82" s="1814">
        <v>0</v>
      </c>
      <c r="Q82" s="1814">
        <v>0</v>
      </c>
      <c r="R82" s="1814">
        <v>0</v>
      </c>
      <c r="S82" s="1814">
        <v>0</v>
      </c>
      <c r="T82" s="1814">
        <v>0</v>
      </c>
      <c r="U82" s="1814">
        <v>0</v>
      </c>
      <c r="V82" s="1814">
        <v>0</v>
      </c>
      <c r="W82" s="1814">
        <v>0</v>
      </c>
      <c r="X82" s="1815">
        <f t="shared" si="75"/>
        <v>0</v>
      </c>
      <c r="Y82" s="4659"/>
    </row>
    <row r="83" spans="1:26" s="1769" customFormat="1" ht="12.75">
      <c r="A83" s="4656"/>
      <c r="B83" s="1816" t="s">
        <v>33</v>
      </c>
      <c r="C83" s="4662"/>
      <c r="D83" s="1817">
        <f>+M83+O83+P83+Q83+R83+S83+T83+U83+V83+W83</f>
        <v>127144</v>
      </c>
      <c r="E83" s="1818"/>
      <c r="F83" s="1819">
        <v>0</v>
      </c>
      <c r="G83" s="1819"/>
      <c r="H83" s="1818"/>
      <c r="I83" s="1818"/>
      <c r="J83" s="1818"/>
      <c r="K83" s="1818">
        <f>8664</f>
        <v>8664</v>
      </c>
      <c r="L83" s="1818">
        <v>47575</v>
      </c>
      <c r="M83" s="1820">
        <f>+L83+K83+J83+I83+N83</f>
        <v>115613</v>
      </c>
      <c r="N83" s="1819">
        <f>621201-549933-11894</f>
        <v>59374</v>
      </c>
      <c r="O83" s="1819">
        <f>549933-238401-300001</f>
        <v>11531</v>
      </c>
      <c r="P83" s="1819">
        <v>0</v>
      </c>
      <c r="Q83" s="1819">
        <v>0</v>
      </c>
      <c r="R83" s="1819">
        <v>0</v>
      </c>
      <c r="S83" s="1819">
        <v>0</v>
      </c>
      <c r="T83" s="1819">
        <v>0</v>
      </c>
      <c r="U83" s="1819">
        <v>0</v>
      </c>
      <c r="V83" s="1819">
        <v>0</v>
      </c>
      <c r="W83" s="1819">
        <v>0</v>
      </c>
      <c r="X83" s="1821">
        <f>+P83+Q83+R83+S83</f>
        <v>0</v>
      </c>
      <c r="Y83" s="4659"/>
    </row>
    <row r="84" spans="1:26" s="1769" customFormat="1" ht="12.75">
      <c r="A84" s="4656"/>
      <c r="B84" s="1822" t="s">
        <v>34</v>
      </c>
      <c r="C84" s="1796"/>
      <c r="D84" s="1797">
        <f t="shared" ref="D84:D85" si="76">I84+J84+K84+L84+N84+O84+P84+Q84+R84</f>
        <v>127144</v>
      </c>
      <c r="E84" s="1797">
        <f t="shared" ref="E84:N85" si="77">+E85</f>
        <v>0</v>
      </c>
      <c r="F84" s="1797">
        <f t="shared" si="77"/>
        <v>0</v>
      </c>
      <c r="G84" s="1797">
        <f t="shared" si="77"/>
        <v>0</v>
      </c>
      <c r="H84" s="1797">
        <f t="shared" si="77"/>
        <v>0</v>
      </c>
      <c r="I84" s="1797">
        <f t="shared" si="77"/>
        <v>0</v>
      </c>
      <c r="J84" s="1797">
        <f t="shared" si="77"/>
        <v>0</v>
      </c>
      <c r="K84" s="1797">
        <f t="shared" si="77"/>
        <v>0</v>
      </c>
      <c r="L84" s="1797">
        <f t="shared" si="77"/>
        <v>0</v>
      </c>
      <c r="M84" s="1797">
        <f t="shared" si="77"/>
        <v>0</v>
      </c>
      <c r="N84" s="1797">
        <f t="shared" si="77"/>
        <v>0</v>
      </c>
      <c r="O84" s="1797">
        <f t="shared" ref="O84:W85" si="78">O85</f>
        <v>127144</v>
      </c>
      <c r="P84" s="1797">
        <f t="shared" si="78"/>
        <v>0</v>
      </c>
      <c r="Q84" s="1797">
        <f t="shared" si="78"/>
        <v>0</v>
      </c>
      <c r="R84" s="1797">
        <f t="shared" si="78"/>
        <v>0</v>
      </c>
      <c r="S84" s="1797">
        <f t="shared" si="78"/>
        <v>0</v>
      </c>
      <c r="T84" s="1797">
        <f t="shared" si="78"/>
        <v>0</v>
      </c>
      <c r="U84" s="1797">
        <f t="shared" si="78"/>
        <v>0</v>
      </c>
      <c r="V84" s="1797">
        <f t="shared" si="78"/>
        <v>0</v>
      </c>
      <c r="W84" s="1797">
        <f t="shared" si="78"/>
        <v>0</v>
      </c>
      <c r="X84" s="4111" t="s">
        <v>77</v>
      </c>
      <c r="Y84" s="4659"/>
      <c r="Z84" s="1056">
        <f>'[3]Tab. 6H - Kultura fiz. i turyst'!$D$80-D84</f>
        <v>556448</v>
      </c>
    </row>
    <row r="85" spans="1:26" s="1769" customFormat="1" ht="12.75" customHeight="1">
      <c r="A85" s="4656"/>
      <c r="B85" s="1823" t="s">
        <v>30</v>
      </c>
      <c r="C85" s="4158" t="s">
        <v>102</v>
      </c>
      <c r="D85" s="1811">
        <f t="shared" si="76"/>
        <v>127144</v>
      </c>
      <c r="E85" s="1812">
        <f t="shared" si="77"/>
        <v>0</v>
      </c>
      <c r="F85" s="1812">
        <f t="shared" si="77"/>
        <v>0</v>
      </c>
      <c r="G85" s="1812">
        <f t="shared" si="77"/>
        <v>0</v>
      </c>
      <c r="H85" s="1812">
        <f t="shared" si="77"/>
        <v>0</v>
      </c>
      <c r="I85" s="1812">
        <f t="shared" si="77"/>
        <v>0</v>
      </c>
      <c r="J85" s="1812">
        <f t="shared" si="77"/>
        <v>0</v>
      </c>
      <c r="K85" s="1812">
        <f t="shared" si="77"/>
        <v>0</v>
      </c>
      <c r="L85" s="1812">
        <f t="shared" si="77"/>
        <v>0</v>
      </c>
      <c r="M85" s="1812">
        <f t="shared" si="77"/>
        <v>0</v>
      </c>
      <c r="N85" s="1812">
        <f t="shared" si="77"/>
        <v>0</v>
      </c>
      <c r="O85" s="1812">
        <f t="shared" si="78"/>
        <v>127144</v>
      </c>
      <c r="P85" s="1812">
        <f t="shared" si="78"/>
        <v>0</v>
      </c>
      <c r="Q85" s="1812">
        <f t="shared" si="78"/>
        <v>0</v>
      </c>
      <c r="R85" s="1812">
        <f t="shared" si="78"/>
        <v>0</v>
      </c>
      <c r="S85" s="1812">
        <f t="shared" si="78"/>
        <v>0</v>
      </c>
      <c r="T85" s="1812">
        <f t="shared" si="78"/>
        <v>0</v>
      </c>
      <c r="U85" s="1812">
        <f t="shared" si="78"/>
        <v>0</v>
      </c>
      <c r="V85" s="1812">
        <f t="shared" si="78"/>
        <v>0</v>
      </c>
      <c r="W85" s="1812">
        <f t="shared" si="78"/>
        <v>0</v>
      </c>
      <c r="X85" s="4112"/>
      <c r="Y85" s="4659"/>
    </row>
    <row r="86" spans="1:26" s="1769" customFormat="1" ht="13.5" thickBot="1">
      <c r="A86" s="4657"/>
      <c r="B86" s="1824" t="s">
        <v>33</v>
      </c>
      <c r="C86" s="4110"/>
      <c r="D86" s="1817">
        <f>+M86+O86+P86+Q86+R86+S86+T86+U86+V86+W86</f>
        <v>127144</v>
      </c>
      <c r="E86" s="1825"/>
      <c r="F86" s="1826"/>
      <c r="G86" s="1825"/>
      <c r="H86" s="1825"/>
      <c r="I86" s="1825">
        <v>0</v>
      </c>
      <c r="J86" s="1825">
        <v>0</v>
      </c>
      <c r="K86" s="1825">
        <v>0</v>
      </c>
      <c r="L86" s="1825">
        <v>0</v>
      </c>
      <c r="M86" s="1820">
        <f>+L86+K86+J86+I86+N86</f>
        <v>0</v>
      </c>
      <c r="N86" s="1826">
        <v>0</v>
      </c>
      <c r="O86" s="1825">
        <f>683592-238401-318047</f>
        <v>127144</v>
      </c>
      <c r="P86" s="1825">
        <v>0</v>
      </c>
      <c r="Q86" s="1825">
        <v>0</v>
      </c>
      <c r="R86" s="1825">
        <v>0</v>
      </c>
      <c r="S86" s="1825">
        <v>0</v>
      </c>
      <c r="T86" s="1825">
        <v>0</v>
      </c>
      <c r="U86" s="1825">
        <v>0</v>
      </c>
      <c r="V86" s="1825">
        <v>0</v>
      </c>
      <c r="W86" s="1825">
        <v>0</v>
      </c>
      <c r="X86" s="4113"/>
      <c r="Y86" s="4660"/>
    </row>
    <row r="87" spans="1:26" s="1769" customFormat="1" ht="27.75" customHeight="1">
      <c r="A87" s="4354" t="s">
        <v>140</v>
      </c>
      <c r="B87" s="833" t="s">
        <v>459</v>
      </c>
      <c r="C87" s="1766" t="s">
        <v>98</v>
      </c>
      <c r="D87" s="846"/>
      <c r="E87" s="775"/>
      <c r="F87" s="775"/>
      <c r="G87" s="775"/>
      <c r="H87" s="775"/>
      <c r="I87" s="775"/>
      <c r="J87" s="775"/>
      <c r="K87" s="775"/>
      <c r="L87" s="836"/>
      <c r="M87" s="836"/>
      <c r="N87" s="836"/>
      <c r="O87" s="836"/>
      <c r="P87" s="837"/>
      <c r="Q87" s="837"/>
      <c r="R87" s="837"/>
      <c r="S87" s="837"/>
      <c r="T87" s="836"/>
      <c r="U87" s="836"/>
      <c r="V87" s="836"/>
      <c r="W87" s="836"/>
      <c r="X87" s="838"/>
      <c r="Y87" s="4639" t="s">
        <v>408</v>
      </c>
    </row>
    <row r="88" spans="1:26" s="1769" customFormat="1" ht="12.75">
      <c r="A88" s="4345"/>
      <c r="B88" s="406" t="s">
        <v>22</v>
      </c>
      <c r="C88" s="382"/>
      <c r="D88" s="471">
        <f>D89</f>
        <v>238401</v>
      </c>
      <c r="E88" s="471">
        <f t="shared" ref="E88:X89" si="79">+E89</f>
        <v>0</v>
      </c>
      <c r="F88" s="471">
        <f t="shared" si="79"/>
        <v>0</v>
      </c>
      <c r="G88" s="471">
        <f t="shared" si="79"/>
        <v>0</v>
      </c>
      <c r="H88" s="471">
        <f t="shared" si="79"/>
        <v>0</v>
      </c>
      <c r="I88" s="471">
        <f t="shared" si="79"/>
        <v>0</v>
      </c>
      <c r="J88" s="471">
        <f t="shared" si="79"/>
        <v>0</v>
      </c>
      <c r="K88" s="471">
        <f t="shared" si="79"/>
        <v>0</v>
      </c>
      <c r="L88" s="471">
        <f t="shared" si="79"/>
        <v>0</v>
      </c>
      <c r="M88" s="471">
        <f t="shared" si="79"/>
        <v>0</v>
      </c>
      <c r="N88" s="471">
        <f t="shared" si="79"/>
        <v>0</v>
      </c>
      <c r="O88" s="471">
        <f t="shared" si="79"/>
        <v>238401</v>
      </c>
      <c r="P88" s="471">
        <f t="shared" si="79"/>
        <v>0</v>
      </c>
      <c r="Q88" s="471">
        <f t="shared" si="79"/>
        <v>0</v>
      </c>
      <c r="R88" s="471">
        <f t="shared" si="79"/>
        <v>0</v>
      </c>
      <c r="S88" s="471">
        <f t="shared" si="79"/>
        <v>0</v>
      </c>
      <c r="T88" s="471">
        <f t="shared" si="79"/>
        <v>0</v>
      </c>
      <c r="U88" s="471">
        <f t="shared" si="79"/>
        <v>0</v>
      </c>
      <c r="V88" s="471">
        <f t="shared" si="79"/>
        <v>0</v>
      </c>
      <c r="W88" s="471">
        <f t="shared" si="79"/>
        <v>0</v>
      </c>
      <c r="X88" s="487">
        <f t="shared" si="79"/>
        <v>0</v>
      </c>
      <c r="Y88" s="4639"/>
    </row>
    <row r="89" spans="1:26" s="1769" customFormat="1" ht="12.75">
      <c r="A89" s="4345"/>
      <c r="B89" s="560" t="s">
        <v>30</v>
      </c>
      <c r="C89" s="4129" t="s">
        <v>264</v>
      </c>
      <c r="D89" s="466">
        <f>D90</f>
        <v>238401</v>
      </c>
      <c r="E89" s="467">
        <f t="shared" si="79"/>
        <v>0</v>
      </c>
      <c r="F89" s="467">
        <f t="shared" si="79"/>
        <v>0</v>
      </c>
      <c r="G89" s="467">
        <f t="shared" si="79"/>
        <v>0</v>
      </c>
      <c r="H89" s="467">
        <f t="shared" si="79"/>
        <v>0</v>
      </c>
      <c r="I89" s="571">
        <f t="shared" si="79"/>
        <v>0</v>
      </c>
      <c r="J89" s="571">
        <f t="shared" si="79"/>
        <v>0</v>
      </c>
      <c r="K89" s="571">
        <f t="shared" si="79"/>
        <v>0</v>
      </c>
      <c r="L89" s="571">
        <f t="shared" si="79"/>
        <v>0</v>
      </c>
      <c r="M89" s="571">
        <f t="shared" si="79"/>
        <v>0</v>
      </c>
      <c r="N89" s="577">
        <f>N90</f>
        <v>0</v>
      </c>
      <c r="O89" s="577">
        <f>O90</f>
        <v>238401</v>
      </c>
      <c r="P89" s="577">
        <v>0</v>
      </c>
      <c r="Q89" s="577">
        <v>0</v>
      </c>
      <c r="R89" s="577">
        <v>0</v>
      </c>
      <c r="S89" s="577">
        <v>0</v>
      </c>
      <c r="T89" s="577">
        <v>0</v>
      </c>
      <c r="U89" s="577">
        <v>0</v>
      </c>
      <c r="V89" s="577">
        <v>0</v>
      </c>
      <c r="W89" s="577">
        <v>0</v>
      </c>
      <c r="X89" s="509">
        <f t="shared" si="79"/>
        <v>0</v>
      </c>
      <c r="Y89" s="4640"/>
    </row>
    <row r="90" spans="1:26" s="1769" customFormat="1" ht="12.75">
      <c r="A90" s="4345"/>
      <c r="B90" s="1419" t="s">
        <v>33</v>
      </c>
      <c r="C90" s="4130"/>
      <c r="D90" s="473">
        <f>+M90+O90+P90+Q90+R90+S90+T90+U90+V90+W90</f>
        <v>238401</v>
      </c>
      <c r="E90" s="461"/>
      <c r="F90" s="469">
        <v>0</v>
      </c>
      <c r="G90" s="469"/>
      <c r="H90" s="461"/>
      <c r="I90" s="461"/>
      <c r="J90" s="461"/>
      <c r="K90" s="461"/>
      <c r="L90" s="461"/>
      <c r="M90" s="463">
        <f>+L90+K90+J90+I90+N90</f>
        <v>0</v>
      </c>
      <c r="N90" s="469">
        <v>0</v>
      </c>
      <c r="O90" s="469">
        <v>238401</v>
      </c>
      <c r="P90" s="469">
        <v>0</v>
      </c>
      <c r="Q90" s="469">
        <v>0</v>
      </c>
      <c r="R90" s="469">
        <v>0</v>
      </c>
      <c r="S90" s="469">
        <v>0</v>
      </c>
      <c r="T90" s="469">
        <v>0</v>
      </c>
      <c r="U90" s="469">
        <v>0</v>
      </c>
      <c r="V90" s="469">
        <v>0</v>
      </c>
      <c r="W90" s="469">
        <v>0</v>
      </c>
      <c r="X90" s="377">
        <f>+P90+Q90+R90+S90</f>
        <v>0</v>
      </c>
      <c r="Y90" s="4640"/>
    </row>
    <row r="91" spans="1:26" s="1769" customFormat="1" ht="12.75">
      <c r="A91" s="4345"/>
      <c r="B91" s="381" t="s">
        <v>34</v>
      </c>
      <c r="C91" s="382"/>
      <c r="D91" s="471">
        <f t="shared" ref="D91:D92" si="80">I91+J91+K91+L91+N91+O91+P91+Q91+R91</f>
        <v>238401</v>
      </c>
      <c r="E91" s="471">
        <f t="shared" ref="E91:N92" si="81">+E92</f>
        <v>0</v>
      </c>
      <c r="F91" s="471">
        <f t="shared" si="81"/>
        <v>0</v>
      </c>
      <c r="G91" s="471">
        <f t="shared" si="81"/>
        <v>0</v>
      </c>
      <c r="H91" s="471">
        <f t="shared" si="81"/>
        <v>0</v>
      </c>
      <c r="I91" s="471">
        <f t="shared" si="81"/>
        <v>0</v>
      </c>
      <c r="J91" s="471">
        <f t="shared" si="81"/>
        <v>0</v>
      </c>
      <c r="K91" s="471">
        <f t="shared" si="81"/>
        <v>0</v>
      </c>
      <c r="L91" s="471">
        <f t="shared" si="81"/>
        <v>0</v>
      </c>
      <c r="M91" s="471">
        <f t="shared" si="81"/>
        <v>0</v>
      </c>
      <c r="N91" s="471">
        <f t="shared" si="81"/>
        <v>0</v>
      </c>
      <c r="O91" s="471">
        <f t="shared" ref="O91:W92" si="82">O92</f>
        <v>238401</v>
      </c>
      <c r="P91" s="471">
        <f t="shared" si="82"/>
        <v>0</v>
      </c>
      <c r="Q91" s="471">
        <f t="shared" si="82"/>
        <v>0</v>
      </c>
      <c r="R91" s="471">
        <f t="shared" si="82"/>
        <v>0</v>
      </c>
      <c r="S91" s="471">
        <f t="shared" si="82"/>
        <v>0</v>
      </c>
      <c r="T91" s="471">
        <f t="shared" si="82"/>
        <v>0</v>
      </c>
      <c r="U91" s="471">
        <f t="shared" si="82"/>
        <v>0</v>
      </c>
      <c r="V91" s="471">
        <f t="shared" si="82"/>
        <v>0</v>
      </c>
      <c r="W91" s="471">
        <f t="shared" si="82"/>
        <v>0</v>
      </c>
      <c r="X91" s="4002" t="s">
        <v>77</v>
      </c>
      <c r="Y91" s="4640"/>
    </row>
    <row r="92" spans="1:26" s="1769" customFormat="1" ht="12.75" customHeight="1">
      <c r="A92" s="4345"/>
      <c r="B92" s="779" t="s">
        <v>30</v>
      </c>
      <c r="C92" s="4174" t="s">
        <v>102</v>
      </c>
      <c r="D92" s="466">
        <f t="shared" si="80"/>
        <v>238401</v>
      </c>
      <c r="E92" s="467">
        <f t="shared" si="81"/>
        <v>0</v>
      </c>
      <c r="F92" s="467">
        <f t="shared" si="81"/>
        <v>0</v>
      </c>
      <c r="G92" s="467">
        <f t="shared" si="81"/>
        <v>0</v>
      </c>
      <c r="H92" s="467">
        <f t="shared" si="81"/>
        <v>0</v>
      </c>
      <c r="I92" s="467">
        <f t="shared" si="81"/>
        <v>0</v>
      </c>
      <c r="J92" s="467">
        <f t="shared" si="81"/>
        <v>0</v>
      </c>
      <c r="K92" s="467">
        <f t="shared" si="81"/>
        <v>0</v>
      </c>
      <c r="L92" s="467">
        <f t="shared" si="81"/>
        <v>0</v>
      </c>
      <c r="M92" s="467">
        <f t="shared" si="81"/>
        <v>0</v>
      </c>
      <c r="N92" s="467">
        <f t="shared" si="81"/>
        <v>0</v>
      </c>
      <c r="O92" s="467">
        <f t="shared" si="82"/>
        <v>238401</v>
      </c>
      <c r="P92" s="467">
        <f t="shared" si="82"/>
        <v>0</v>
      </c>
      <c r="Q92" s="467">
        <f t="shared" si="82"/>
        <v>0</v>
      </c>
      <c r="R92" s="467">
        <f t="shared" si="82"/>
        <v>0</v>
      </c>
      <c r="S92" s="467">
        <f t="shared" si="82"/>
        <v>0</v>
      </c>
      <c r="T92" s="467">
        <f t="shared" si="82"/>
        <v>0</v>
      </c>
      <c r="U92" s="467">
        <f t="shared" si="82"/>
        <v>0</v>
      </c>
      <c r="V92" s="467">
        <f t="shared" si="82"/>
        <v>0</v>
      </c>
      <c r="W92" s="467">
        <f t="shared" si="82"/>
        <v>0</v>
      </c>
      <c r="X92" s="4003"/>
      <c r="Y92" s="4640"/>
    </row>
    <row r="93" spans="1:26" s="1769" customFormat="1" ht="13.5" thickBot="1">
      <c r="A93" s="4346"/>
      <c r="B93" s="1770" t="s">
        <v>33</v>
      </c>
      <c r="C93" s="4126"/>
      <c r="D93" s="473">
        <f>+M93+O93+P93+Q93+R93+S93+T93+U93+V93+W93</f>
        <v>238401</v>
      </c>
      <c r="E93" s="498"/>
      <c r="F93" s="499"/>
      <c r="G93" s="498"/>
      <c r="H93" s="498"/>
      <c r="I93" s="498">
        <v>0</v>
      </c>
      <c r="J93" s="498">
        <v>0</v>
      </c>
      <c r="K93" s="498">
        <v>0</v>
      </c>
      <c r="L93" s="498">
        <v>0</v>
      </c>
      <c r="M93" s="463">
        <f>+L93+K93+J93+I93+N93</f>
        <v>0</v>
      </c>
      <c r="N93" s="499">
        <v>0</v>
      </c>
      <c r="O93" s="498">
        <v>238401</v>
      </c>
      <c r="P93" s="498">
        <v>0</v>
      </c>
      <c r="Q93" s="498">
        <v>0</v>
      </c>
      <c r="R93" s="498">
        <v>0</v>
      </c>
      <c r="S93" s="498">
        <v>0</v>
      </c>
      <c r="T93" s="498">
        <v>0</v>
      </c>
      <c r="U93" s="498">
        <v>0</v>
      </c>
      <c r="V93" s="498">
        <v>0</v>
      </c>
      <c r="W93" s="498">
        <v>0</v>
      </c>
      <c r="X93" s="4004"/>
      <c r="Y93" s="4356"/>
    </row>
    <row r="94" spans="1:26" s="1769" customFormat="1" ht="29.25" customHeight="1">
      <c r="A94" s="4663" t="s">
        <v>105</v>
      </c>
      <c r="B94" s="1788" t="s">
        <v>569</v>
      </c>
      <c r="C94" s="1789" t="s">
        <v>266</v>
      </c>
      <c r="D94" s="1790"/>
      <c r="E94" s="1791"/>
      <c r="F94" s="1791"/>
      <c r="G94" s="1791"/>
      <c r="H94" s="1791"/>
      <c r="I94" s="1791"/>
      <c r="J94" s="1791"/>
      <c r="K94" s="1791"/>
      <c r="L94" s="1792"/>
      <c r="M94" s="1792"/>
      <c r="N94" s="1792"/>
      <c r="O94" s="1792"/>
      <c r="P94" s="1793"/>
      <c r="Q94" s="1793"/>
      <c r="R94" s="1793"/>
      <c r="S94" s="1793"/>
      <c r="T94" s="1792"/>
      <c r="U94" s="1792"/>
      <c r="V94" s="1792"/>
      <c r="W94" s="1792"/>
      <c r="X94" s="1794"/>
      <c r="Y94" s="4384" t="s">
        <v>408</v>
      </c>
    </row>
    <row r="95" spans="1:26" s="1769" customFormat="1" ht="14.25" customHeight="1">
      <c r="A95" s="4656"/>
      <c r="B95" s="2727" t="s">
        <v>22</v>
      </c>
      <c r="C95" s="1796"/>
      <c r="D95" s="2728">
        <f>D96+D98</f>
        <v>48980</v>
      </c>
      <c r="E95" s="2728">
        <f t="shared" ref="E95:T95" si="83">+E98</f>
        <v>0</v>
      </c>
      <c r="F95" s="2728">
        <f t="shared" si="83"/>
        <v>0</v>
      </c>
      <c r="G95" s="2728">
        <f t="shared" si="83"/>
        <v>0</v>
      </c>
      <c r="H95" s="2728">
        <f t="shared" si="83"/>
        <v>0</v>
      </c>
      <c r="I95" s="2728">
        <f t="shared" si="83"/>
        <v>0</v>
      </c>
      <c r="J95" s="2728">
        <f t="shared" si="83"/>
        <v>0</v>
      </c>
      <c r="K95" s="2728">
        <f t="shared" si="83"/>
        <v>1341</v>
      </c>
      <c r="L95" s="2728">
        <f t="shared" si="83"/>
        <v>9423</v>
      </c>
      <c r="M95" s="2728">
        <f>+M98+M96</f>
        <v>27882</v>
      </c>
      <c r="N95" s="2728">
        <f>+N98+N96</f>
        <v>15323</v>
      </c>
      <c r="O95" s="2728">
        <f>+O98+O96</f>
        <v>21098</v>
      </c>
      <c r="P95" s="2728">
        <f t="shared" si="83"/>
        <v>0</v>
      </c>
      <c r="Q95" s="2728">
        <f t="shared" si="83"/>
        <v>0</v>
      </c>
      <c r="R95" s="2728">
        <f t="shared" si="83"/>
        <v>0</v>
      </c>
      <c r="S95" s="2728">
        <f t="shared" si="83"/>
        <v>0</v>
      </c>
      <c r="T95" s="2728">
        <f t="shared" si="83"/>
        <v>0</v>
      </c>
      <c r="U95" s="2728"/>
      <c r="V95" s="2728"/>
      <c r="W95" s="2728"/>
      <c r="X95" s="2729">
        <f>+X98+X96</f>
        <v>0</v>
      </c>
      <c r="Y95" s="4658"/>
    </row>
    <row r="96" spans="1:26" s="1769" customFormat="1" ht="14.25" customHeight="1">
      <c r="A96" s="4656"/>
      <c r="B96" s="1799" t="s">
        <v>36</v>
      </c>
      <c r="C96" s="4661" t="s">
        <v>264</v>
      </c>
      <c r="D96" s="1800">
        <f>D97</f>
        <v>1795</v>
      </c>
      <c r="E96" s="1801"/>
      <c r="F96" s="1801"/>
      <c r="G96" s="1801"/>
      <c r="H96" s="1801"/>
      <c r="I96" s="1802"/>
      <c r="J96" s="1802"/>
      <c r="K96" s="1802"/>
      <c r="L96" s="1802">
        <f>L97</f>
        <v>1795</v>
      </c>
      <c r="M96" s="1802">
        <f>M97</f>
        <v>1795</v>
      </c>
      <c r="N96" s="1803">
        <f>N97</f>
        <v>0</v>
      </c>
      <c r="O96" s="1803">
        <f>O97</f>
        <v>0</v>
      </c>
      <c r="P96" s="1803"/>
      <c r="Q96" s="1803"/>
      <c r="R96" s="1803"/>
      <c r="S96" s="1803"/>
      <c r="T96" s="1803"/>
      <c r="U96" s="1803"/>
      <c r="V96" s="1803"/>
      <c r="W96" s="1803"/>
      <c r="X96" s="1804">
        <f>X97</f>
        <v>0</v>
      </c>
      <c r="Y96" s="4658"/>
    </row>
    <row r="97" spans="1:27" s="1769" customFormat="1" ht="14.25" customHeight="1">
      <c r="A97" s="4656"/>
      <c r="B97" s="1805" t="s">
        <v>24</v>
      </c>
      <c r="C97" s="4152"/>
      <c r="D97" s="1806">
        <f>+M97+O97+P97+Q97+R97+S97+T97+U97+V97+W97</f>
        <v>1795</v>
      </c>
      <c r="E97" s="1807"/>
      <c r="F97" s="1808"/>
      <c r="G97" s="1808"/>
      <c r="H97" s="1807"/>
      <c r="I97" s="1807"/>
      <c r="J97" s="1807"/>
      <c r="K97" s="1807"/>
      <c r="L97" s="1807">
        <v>1795</v>
      </c>
      <c r="M97" s="1809">
        <f>+L97+K97+J97+I97+N97</f>
        <v>1795</v>
      </c>
      <c r="N97" s="1808">
        <v>0</v>
      </c>
      <c r="O97" s="1808">
        <f>1010-1010</f>
        <v>0</v>
      </c>
      <c r="P97" s="1808"/>
      <c r="Q97" s="1808"/>
      <c r="R97" s="1808"/>
      <c r="S97" s="1808"/>
      <c r="T97" s="1808"/>
      <c r="U97" s="1808"/>
      <c r="V97" s="1808"/>
      <c r="W97" s="1808"/>
      <c r="X97" s="1810">
        <f>+P97+Q97+R97+S97</f>
        <v>0</v>
      </c>
      <c r="Y97" s="4658"/>
    </row>
    <row r="98" spans="1:27" s="1769" customFormat="1" ht="14.25" customHeight="1">
      <c r="A98" s="4656"/>
      <c r="B98" s="2730" t="s">
        <v>30</v>
      </c>
      <c r="C98" s="4152"/>
      <c r="D98" s="1800">
        <f>D99</f>
        <v>47185</v>
      </c>
      <c r="E98" s="1801">
        <f t="shared" ref="E98:M98" si="84">+E99</f>
        <v>0</v>
      </c>
      <c r="F98" s="1801">
        <f t="shared" si="84"/>
        <v>0</v>
      </c>
      <c r="G98" s="1801">
        <f t="shared" si="84"/>
        <v>0</v>
      </c>
      <c r="H98" s="1801">
        <f t="shared" si="84"/>
        <v>0</v>
      </c>
      <c r="I98" s="1802">
        <f t="shared" si="84"/>
        <v>0</v>
      </c>
      <c r="J98" s="1802">
        <f t="shared" si="84"/>
        <v>0</v>
      </c>
      <c r="K98" s="1802">
        <f t="shared" si="84"/>
        <v>1341</v>
      </c>
      <c r="L98" s="1802">
        <f t="shared" si="84"/>
        <v>9423</v>
      </c>
      <c r="M98" s="1802">
        <f t="shared" si="84"/>
        <v>26087</v>
      </c>
      <c r="N98" s="1803">
        <f>N99</f>
        <v>15323</v>
      </c>
      <c r="O98" s="1803">
        <f>O99</f>
        <v>21098</v>
      </c>
      <c r="P98" s="1803">
        <v>0</v>
      </c>
      <c r="Q98" s="1803">
        <v>0</v>
      </c>
      <c r="R98" s="1803">
        <v>0</v>
      </c>
      <c r="S98" s="1803">
        <v>0</v>
      </c>
      <c r="T98" s="1803">
        <v>0</v>
      </c>
      <c r="U98" s="1803"/>
      <c r="V98" s="1803"/>
      <c r="W98" s="1803"/>
      <c r="X98" s="1804">
        <f>+X99</f>
        <v>0</v>
      </c>
      <c r="Y98" s="4659"/>
    </row>
    <row r="99" spans="1:27" s="1769" customFormat="1" ht="15" customHeight="1">
      <c r="A99" s="4656"/>
      <c r="B99" s="1816" t="s">
        <v>33</v>
      </c>
      <c r="C99" s="4662"/>
      <c r="D99" s="1806">
        <f>+M99+O99+P99+Q99+R99+S99+T99+U99+V99+W99</f>
        <v>47185</v>
      </c>
      <c r="E99" s="1807"/>
      <c r="F99" s="1808">
        <v>0</v>
      </c>
      <c r="G99" s="1808"/>
      <c r="H99" s="1807"/>
      <c r="I99" s="1807"/>
      <c r="J99" s="1807"/>
      <c r="K99" s="1807">
        <v>1341</v>
      </c>
      <c r="L99" s="1807">
        <f>11218-1795</f>
        <v>9423</v>
      </c>
      <c r="M99" s="1809">
        <f>+L99+K99+J99+I99+N99</f>
        <v>26087</v>
      </c>
      <c r="N99" s="1808">
        <f>954700-920500-18877</f>
        <v>15323</v>
      </c>
      <c r="O99" s="1808">
        <f>920500+18877-497760-412433-8084-2</f>
        <v>21098</v>
      </c>
      <c r="P99" s="1808">
        <v>0</v>
      </c>
      <c r="Q99" s="1808">
        <v>0</v>
      </c>
      <c r="R99" s="1808">
        <v>0</v>
      </c>
      <c r="S99" s="1808">
        <v>0</v>
      </c>
      <c r="T99" s="1808">
        <v>0</v>
      </c>
      <c r="U99" s="1808"/>
      <c r="V99" s="1808"/>
      <c r="W99" s="1808"/>
      <c r="X99" s="1810">
        <f>+P99+Q99+R99+S99</f>
        <v>0</v>
      </c>
      <c r="Y99" s="4659"/>
    </row>
    <row r="100" spans="1:27" s="1769" customFormat="1" ht="14.25" customHeight="1">
      <c r="A100" s="4656"/>
      <c r="B100" s="1822" t="s">
        <v>34</v>
      </c>
      <c r="C100" s="1796"/>
      <c r="D100" s="2728">
        <f t="shared" ref="D100" si="85">I100+J100+K100+L100+N100+O100+P100+Q100+R100</f>
        <v>47185</v>
      </c>
      <c r="E100" s="2728">
        <f t="shared" ref="E100:N101" si="86">+E101</f>
        <v>0</v>
      </c>
      <c r="F100" s="2728">
        <f t="shared" si="86"/>
        <v>0</v>
      </c>
      <c r="G100" s="2728">
        <f t="shared" si="86"/>
        <v>0</v>
      </c>
      <c r="H100" s="2728">
        <f t="shared" si="86"/>
        <v>0</v>
      </c>
      <c r="I100" s="2728">
        <f t="shared" si="86"/>
        <v>0</v>
      </c>
      <c r="J100" s="2728">
        <f t="shared" si="86"/>
        <v>0</v>
      </c>
      <c r="K100" s="2728">
        <f t="shared" si="86"/>
        <v>0</v>
      </c>
      <c r="L100" s="2728">
        <f t="shared" si="86"/>
        <v>0</v>
      </c>
      <c r="M100" s="2728">
        <f t="shared" si="86"/>
        <v>0</v>
      </c>
      <c r="N100" s="2728">
        <f t="shared" si="86"/>
        <v>0</v>
      </c>
      <c r="O100" s="2728">
        <f t="shared" ref="O100:T101" si="87">O101</f>
        <v>46650</v>
      </c>
      <c r="P100" s="2728">
        <f t="shared" si="87"/>
        <v>535</v>
      </c>
      <c r="Q100" s="2728">
        <f t="shared" si="87"/>
        <v>0</v>
      </c>
      <c r="R100" s="2728">
        <f t="shared" si="87"/>
        <v>0</v>
      </c>
      <c r="S100" s="2728">
        <f t="shared" si="87"/>
        <v>0</v>
      </c>
      <c r="T100" s="2728">
        <f t="shared" si="87"/>
        <v>0</v>
      </c>
      <c r="U100" s="2728"/>
      <c r="V100" s="2728"/>
      <c r="W100" s="2728"/>
      <c r="X100" s="4689" t="s">
        <v>77</v>
      </c>
      <c r="Y100" s="4659"/>
      <c r="Z100" s="1056">
        <f>'[3]Tab. 6H - Kultura fiz. i turyst'!$D$87-D100</f>
        <v>920074</v>
      </c>
    </row>
    <row r="101" spans="1:27" s="1769" customFormat="1" ht="14.25" customHeight="1">
      <c r="A101" s="4656"/>
      <c r="B101" s="1823" t="s">
        <v>30</v>
      </c>
      <c r="C101" s="4688" t="s">
        <v>102</v>
      </c>
      <c r="D101" s="1800">
        <f>I101+J101+K101+L101+N101+O101+P101+Q101+R101</f>
        <v>47185</v>
      </c>
      <c r="E101" s="1801">
        <f t="shared" si="86"/>
        <v>0</v>
      </c>
      <c r="F101" s="1801">
        <f t="shared" si="86"/>
        <v>0</v>
      </c>
      <c r="G101" s="1801">
        <f t="shared" si="86"/>
        <v>0</v>
      </c>
      <c r="H101" s="1801">
        <f t="shared" si="86"/>
        <v>0</v>
      </c>
      <c r="I101" s="1801">
        <f t="shared" si="86"/>
        <v>0</v>
      </c>
      <c r="J101" s="1801">
        <f t="shared" si="86"/>
        <v>0</v>
      </c>
      <c r="K101" s="1801">
        <f t="shared" si="86"/>
        <v>0</v>
      </c>
      <c r="L101" s="1801">
        <f t="shared" si="86"/>
        <v>0</v>
      </c>
      <c r="M101" s="1801">
        <f t="shared" si="86"/>
        <v>0</v>
      </c>
      <c r="N101" s="1801">
        <f t="shared" si="86"/>
        <v>0</v>
      </c>
      <c r="O101" s="1801">
        <f t="shared" si="87"/>
        <v>46650</v>
      </c>
      <c r="P101" s="1801">
        <f t="shared" si="87"/>
        <v>535</v>
      </c>
      <c r="Q101" s="1801">
        <f t="shared" si="87"/>
        <v>0</v>
      </c>
      <c r="R101" s="1801">
        <f t="shared" si="87"/>
        <v>0</v>
      </c>
      <c r="S101" s="1801">
        <f t="shared" si="87"/>
        <v>0</v>
      </c>
      <c r="T101" s="1801">
        <f t="shared" si="87"/>
        <v>0</v>
      </c>
      <c r="U101" s="1801"/>
      <c r="V101" s="1801"/>
      <c r="W101" s="1801"/>
      <c r="X101" s="4112"/>
      <c r="Y101" s="4659"/>
    </row>
    <row r="102" spans="1:27" s="1769" customFormat="1" ht="14.25" customHeight="1" thickBot="1">
      <c r="A102" s="4657"/>
      <c r="B102" s="1824" t="s">
        <v>33</v>
      </c>
      <c r="C102" s="4110"/>
      <c r="D102" s="1806">
        <f>+M102+O102+P102+Q102+R102+S102+T102+U102+V102+W102</f>
        <v>47185</v>
      </c>
      <c r="E102" s="1825"/>
      <c r="F102" s="1826"/>
      <c r="G102" s="1825"/>
      <c r="H102" s="1825"/>
      <c r="I102" s="1825">
        <v>0</v>
      </c>
      <c r="J102" s="1825">
        <v>0</v>
      </c>
      <c r="K102" s="1825">
        <v>0</v>
      </c>
      <c r="L102" s="1825">
        <v>0</v>
      </c>
      <c r="M102" s="1809">
        <f>+L102+K102+J102+I102+N102</f>
        <v>0</v>
      </c>
      <c r="N102" s="1826"/>
      <c r="O102" s="1825">
        <f>967259-499555-412433-8084-537</f>
        <v>46650</v>
      </c>
      <c r="P102" s="1825">
        <v>535</v>
      </c>
      <c r="Q102" s="1825">
        <v>0</v>
      </c>
      <c r="R102" s="1825">
        <v>0</v>
      </c>
      <c r="S102" s="1825">
        <v>0</v>
      </c>
      <c r="T102" s="1825">
        <v>0</v>
      </c>
      <c r="U102" s="1825"/>
      <c r="V102" s="1825"/>
      <c r="W102" s="1825"/>
      <c r="X102" s="4113"/>
      <c r="Y102" s="4660"/>
    </row>
    <row r="103" spans="1:27" ht="33" hidden="1" customHeight="1">
      <c r="A103" s="4344" t="s">
        <v>109</v>
      </c>
      <c r="B103" s="890"/>
      <c r="C103" s="891"/>
      <c r="D103" s="892"/>
      <c r="E103" s="893"/>
      <c r="F103" s="890"/>
      <c r="G103" s="891"/>
      <c r="H103" s="893"/>
      <c r="I103" s="893"/>
      <c r="J103" s="893"/>
      <c r="K103" s="893"/>
      <c r="L103" s="894"/>
      <c r="M103" s="894"/>
      <c r="N103" s="894"/>
      <c r="O103" s="894"/>
      <c r="P103" s="895"/>
      <c r="Q103" s="895"/>
      <c r="R103" s="895"/>
      <c r="S103" s="895"/>
      <c r="T103" s="894"/>
      <c r="U103" s="894"/>
      <c r="V103" s="894"/>
      <c r="W103" s="894"/>
      <c r="X103" s="896"/>
      <c r="Y103" s="4647" t="s">
        <v>132</v>
      </c>
    </row>
    <row r="104" spans="1:27" ht="16.5" hidden="1" customHeight="1">
      <c r="A104" s="4354"/>
      <c r="B104" s="1730" t="s">
        <v>22</v>
      </c>
      <c r="C104" s="669"/>
      <c r="D104" s="1731">
        <f>+D105</f>
        <v>0</v>
      </c>
      <c r="E104" s="1731">
        <f t="shared" ref="E104:Q104" si="88">+E105</f>
        <v>0</v>
      </c>
      <c r="F104" s="1731">
        <f t="shared" si="88"/>
        <v>0</v>
      </c>
      <c r="G104" s="1731">
        <f t="shared" si="88"/>
        <v>0</v>
      </c>
      <c r="H104" s="1731">
        <f t="shared" si="88"/>
        <v>0</v>
      </c>
      <c r="I104" s="1731">
        <f t="shared" si="88"/>
        <v>0</v>
      </c>
      <c r="J104" s="1731">
        <f t="shared" si="88"/>
        <v>0</v>
      </c>
      <c r="K104" s="1731">
        <f t="shared" si="88"/>
        <v>0</v>
      </c>
      <c r="L104" s="1731">
        <f t="shared" si="88"/>
        <v>0</v>
      </c>
      <c r="M104" s="1731"/>
      <c r="N104" s="1731">
        <f t="shared" si="88"/>
        <v>0</v>
      </c>
      <c r="O104" s="1731">
        <f t="shared" si="88"/>
        <v>0</v>
      </c>
      <c r="P104" s="1731">
        <f t="shared" si="88"/>
        <v>0</v>
      </c>
      <c r="Q104" s="1731">
        <f t="shared" si="88"/>
        <v>0</v>
      </c>
      <c r="R104" s="1732"/>
      <c r="S104" s="1731"/>
      <c r="T104" s="1731"/>
      <c r="U104" s="1731"/>
      <c r="V104" s="1731"/>
      <c r="W104" s="1731"/>
      <c r="X104" s="1733"/>
      <c r="Y104" s="4355"/>
      <c r="Z104" s="876"/>
      <c r="AA104" s="876"/>
    </row>
    <row r="105" spans="1:27" ht="14.25" hidden="1" customHeight="1">
      <c r="A105" s="4354"/>
      <c r="B105" s="1734" t="s">
        <v>30</v>
      </c>
      <c r="C105" s="4651"/>
      <c r="D105" s="1735">
        <f t="shared" ref="D105:L105" si="89">+D106</f>
        <v>0</v>
      </c>
      <c r="E105" s="1736">
        <f t="shared" si="89"/>
        <v>0</v>
      </c>
      <c r="F105" s="1736">
        <f t="shared" si="89"/>
        <v>0</v>
      </c>
      <c r="G105" s="1736">
        <f t="shared" si="89"/>
        <v>0</v>
      </c>
      <c r="H105" s="1736">
        <f t="shared" si="89"/>
        <v>0</v>
      </c>
      <c r="I105" s="1737">
        <f t="shared" si="89"/>
        <v>0</v>
      </c>
      <c r="J105" s="1737">
        <f t="shared" si="89"/>
        <v>0</v>
      </c>
      <c r="K105" s="1737">
        <f t="shared" si="89"/>
        <v>0</v>
      </c>
      <c r="L105" s="1737">
        <f t="shared" si="89"/>
        <v>0</v>
      </c>
      <c r="M105" s="1738"/>
      <c r="N105" s="1738">
        <f>N106</f>
        <v>0</v>
      </c>
      <c r="O105" s="1738">
        <f>O106</f>
        <v>0</v>
      </c>
      <c r="P105" s="1738">
        <f>P106</f>
        <v>0</v>
      </c>
      <c r="Q105" s="1738">
        <f>Q106</f>
        <v>0</v>
      </c>
      <c r="R105" s="1738"/>
      <c r="S105" s="1738"/>
      <c r="T105" s="1738"/>
      <c r="U105" s="1738"/>
      <c r="V105" s="1738"/>
      <c r="W105" s="1738"/>
      <c r="X105" s="1739"/>
      <c r="Y105" s="4355"/>
    </row>
    <row r="106" spans="1:27" ht="13.5" hidden="1" customHeight="1" thickBot="1">
      <c r="A106" s="4354"/>
      <c r="B106" s="708" t="s">
        <v>32</v>
      </c>
      <c r="C106" s="4652"/>
      <c r="D106" s="1740"/>
      <c r="E106" s="1741"/>
      <c r="F106" s="1742"/>
      <c r="G106" s="1742"/>
      <c r="H106" s="1741"/>
      <c r="I106" s="1741"/>
      <c r="J106" s="1741"/>
      <c r="K106" s="1741"/>
      <c r="L106" s="1741"/>
      <c r="M106" s="1742"/>
      <c r="N106" s="1742"/>
      <c r="O106" s="1742"/>
      <c r="P106" s="1742"/>
      <c r="Q106" s="1742"/>
      <c r="R106" s="1742"/>
      <c r="S106" s="1742"/>
      <c r="T106" s="1742"/>
      <c r="U106" s="1742"/>
      <c r="V106" s="1742"/>
      <c r="W106" s="1742"/>
      <c r="X106" s="1743"/>
      <c r="Y106" s="4355"/>
    </row>
    <row r="107" spans="1:27" ht="15.75" hidden="1" customHeight="1">
      <c r="A107" s="4354"/>
      <c r="B107" s="698" t="s">
        <v>34</v>
      </c>
      <c r="C107" s="692"/>
      <c r="D107" s="1731">
        <f>+D108</f>
        <v>0</v>
      </c>
      <c r="E107" s="1731">
        <f t="shared" ref="E107:N108" si="90">+E108</f>
        <v>0</v>
      </c>
      <c r="F107" s="1731">
        <f t="shared" si="90"/>
        <v>0</v>
      </c>
      <c r="G107" s="1731">
        <f t="shared" si="90"/>
        <v>0</v>
      </c>
      <c r="H107" s="1731">
        <f t="shared" si="90"/>
        <v>0</v>
      </c>
      <c r="I107" s="1731">
        <f t="shared" si="90"/>
        <v>0</v>
      </c>
      <c r="J107" s="1731">
        <f t="shared" si="90"/>
        <v>0</v>
      </c>
      <c r="K107" s="1731">
        <f t="shared" si="90"/>
        <v>0</v>
      </c>
      <c r="L107" s="1731">
        <f t="shared" si="90"/>
        <v>0</v>
      </c>
      <c r="M107" s="1731"/>
      <c r="N107" s="1731">
        <f t="shared" si="90"/>
        <v>0</v>
      </c>
      <c r="O107" s="1731">
        <f t="shared" ref="O107:Q108" si="91">O108</f>
        <v>0</v>
      </c>
      <c r="P107" s="1731">
        <f t="shared" si="91"/>
        <v>0</v>
      </c>
      <c r="Q107" s="1731">
        <f t="shared" si="91"/>
        <v>0</v>
      </c>
      <c r="R107" s="1732"/>
      <c r="S107" s="1731"/>
      <c r="T107" s="1731"/>
      <c r="U107" s="1744"/>
      <c r="V107" s="1744"/>
      <c r="W107" s="1744"/>
      <c r="X107" s="4654"/>
      <c r="Y107" s="4355"/>
    </row>
    <row r="108" spans="1:27" ht="12.75" hidden="1" customHeight="1">
      <c r="A108" s="4354"/>
      <c r="B108" s="1734" t="s">
        <v>30</v>
      </c>
      <c r="C108" s="4651"/>
      <c r="D108" s="1735">
        <f>+D109</f>
        <v>0</v>
      </c>
      <c r="E108" s="1736">
        <f t="shared" si="90"/>
        <v>0</v>
      </c>
      <c r="F108" s="1736">
        <f t="shared" si="90"/>
        <v>0</v>
      </c>
      <c r="G108" s="1736">
        <f t="shared" si="90"/>
        <v>0</v>
      </c>
      <c r="H108" s="1736">
        <f t="shared" si="90"/>
        <v>0</v>
      </c>
      <c r="I108" s="1736">
        <f t="shared" si="90"/>
        <v>0</v>
      </c>
      <c r="J108" s="1736">
        <f t="shared" si="90"/>
        <v>0</v>
      </c>
      <c r="K108" s="1736">
        <f t="shared" si="90"/>
        <v>0</v>
      </c>
      <c r="L108" s="1736">
        <f t="shared" si="90"/>
        <v>0</v>
      </c>
      <c r="M108" s="1736"/>
      <c r="N108" s="1736">
        <f t="shared" si="90"/>
        <v>0</v>
      </c>
      <c r="O108" s="1736">
        <f t="shared" si="91"/>
        <v>0</v>
      </c>
      <c r="P108" s="1736">
        <f t="shared" si="91"/>
        <v>0</v>
      </c>
      <c r="Q108" s="1736">
        <f t="shared" si="91"/>
        <v>0</v>
      </c>
      <c r="R108" s="1736"/>
      <c r="S108" s="1736"/>
      <c r="T108" s="1736"/>
      <c r="U108" s="1580"/>
      <c r="V108" s="1580"/>
      <c r="W108" s="1580"/>
      <c r="X108" s="4115"/>
      <c r="Y108" s="4355"/>
    </row>
    <row r="109" spans="1:27" ht="17.25" hidden="1" customHeight="1" thickBot="1">
      <c r="A109" s="4650"/>
      <c r="B109" s="708" t="s">
        <v>32</v>
      </c>
      <c r="C109" s="4653"/>
      <c r="D109" s="713"/>
      <c r="E109" s="696"/>
      <c r="F109" s="697"/>
      <c r="G109" s="696"/>
      <c r="H109" s="696"/>
      <c r="I109" s="696"/>
      <c r="J109" s="696"/>
      <c r="K109" s="696"/>
      <c r="L109" s="897"/>
      <c r="M109" s="897"/>
      <c r="N109" s="897"/>
      <c r="O109" s="897"/>
      <c r="P109" s="897"/>
      <c r="Q109" s="897"/>
      <c r="R109" s="898"/>
      <c r="S109" s="898"/>
      <c r="T109" s="897"/>
      <c r="U109" s="898"/>
      <c r="V109" s="898"/>
      <c r="W109" s="898"/>
      <c r="X109" s="4116"/>
      <c r="Y109" s="4648"/>
    </row>
    <row r="110" spans="1:27" s="1769" customFormat="1" ht="29.25" customHeight="1">
      <c r="A110" s="4344" t="s">
        <v>106</v>
      </c>
      <c r="B110" s="833" t="s">
        <v>535</v>
      </c>
      <c r="C110" s="1766" t="s">
        <v>98</v>
      </c>
      <c r="D110" s="846"/>
      <c r="E110" s="775"/>
      <c r="F110" s="775"/>
      <c r="G110" s="775"/>
      <c r="H110" s="775"/>
      <c r="I110" s="775"/>
      <c r="J110" s="775"/>
      <c r="K110" s="775"/>
      <c r="L110" s="836"/>
      <c r="M110" s="836"/>
      <c r="N110" s="836"/>
      <c r="O110" s="836"/>
      <c r="P110" s="837"/>
      <c r="Q110" s="837"/>
      <c r="R110" s="837"/>
      <c r="S110" s="837"/>
      <c r="T110" s="836"/>
      <c r="U110" s="836"/>
      <c r="V110" s="836"/>
      <c r="W110" s="836"/>
      <c r="X110" s="838"/>
      <c r="Y110" s="4390" t="s">
        <v>408</v>
      </c>
    </row>
    <row r="111" spans="1:27" s="1769" customFormat="1" ht="14.25" customHeight="1">
      <c r="A111" s="4345"/>
      <c r="B111" s="1746" t="s">
        <v>22</v>
      </c>
      <c r="C111" s="382"/>
      <c r="D111" s="1729">
        <f>D114+D112</f>
        <v>413443</v>
      </c>
      <c r="E111" s="1729">
        <f t="shared" ref="E111:X111" si="92">+E114</f>
        <v>0</v>
      </c>
      <c r="F111" s="1729">
        <f t="shared" si="92"/>
        <v>0</v>
      </c>
      <c r="G111" s="1729">
        <f t="shared" si="92"/>
        <v>0</v>
      </c>
      <c r="H111" s="1729">
        <f t="shared" si="92"/>
        <v>0</v>
      </c>
      <c r="I111" s="1729">
        <f t="shared" si="92"/>
        <v>0</v>
      </c>
      <c r="J111" s="1729">
        <f t="shared" si="92"/>
        <v>0</v>
      </c>
      <c r="K111" s="1729">
        <f t="shared" si="92"/>
        <v>0</v>
      </c>
      <c r="L111" s="1729">
        <f t="shared" si="92"/>
        <v>0</v>
      </c>
      <c r="M111" s="1729">
        <f>M114</f>
        <v>0</v>
      </c>
      <c r="N111" s="1729">
        <f>N114</f>
        <v>0</v>
      </c>
      <c r="O111" s="1729">
        <f>O114+O112</f>
        <v>413443</v>
      </c>
      <c r="P111" s="1729">
        <f t="shared" si="92"/>
        <v>0</v>
      </c>
      <c r="Q111" s="1729">
        <f t="shared" si="92"/>
        <v>0</v>
      </c>
      <c r="R111" s="1729">
        <f t="shared" si="92"/>
        <v>0</v>
      </c>
      <c r="S111" s="1729">
        <f t="shared" si="92"/>
        <v>0</v>
      </c>
      <c r="T111" s="1729">
        <f t="shared" si="92"/>
        <v>0</v>
      </c>
      <c r="U111" s="1729">
        <f t="shared" si="92"/>
        <v>0</v>
      </c>
      <c r="V111" s="1729">
        <f t="shared" si="92"/>
        <v>0</v>
      </c>
      <c r="W111" s="1729">
        <f t="shared" si="92"/>
        <v>0</v>
      </c>
      <c r="X111" s="1725">
        <f t="shared" si="92"/>
        <v>0</v>
      </c>
      <c r="Y111" s="4639"/>
    </row>
    <row r="112" spans="1:27" s="1769" customFormat="1" ht="14.25" customHeight="1">
      <c r="A112" s="4345"/>
      <c r="B112" s="1777" t="s">
        <v>36</v>
      </c>
      <c r="C112" s="4643" t="s">
        <v>264</v>
      </c>
      <c r="D112" s="1727">
        <f>D113</f>
        <v>1010</v>
      </c>
      <c r="E112" s="1728"/>
      <c r="F112" s="1728"/>
      <c r="G112" s="1728"/>
      <c r="H112" s="1728"/>
      <c r="I112" s="1748"/>
      <c r="J112" s="1748"/>
      <c r="K112" s="1748"/>
      <c r="L112" s="1748">
        <f>L113</f>
        <v>1795</v>
      </c>
      <c r="M112" s="1748">
        <f>M113</f>
        <v>0</v>
      </c>
      <c r="N112" s="1749">
        <f>N113</f>
        <v>0</v>
      </c>
      <c r="O112" s="1749">
        <f>O113</f>
        <v>1010</v>
      </c>
      <c r="P112" s="1749"/>
      <c r="Q112" s="1749"/>
      <c r="R112" s="1749"/>
      <c r="S112" s="1749"/>
      <c r="T112" s="1749"/>
      <c r="U112" s="1749"/>
      <c r="V112" s="1749"/>
      <c r="W112" s="1749"/>
      <c r="X112" s="1697">
        <f>X113</f>
        <v>0</v>
      </c>
      <c r="Y112" s="4639"/>
    </row>
    <row r="113" spans="1:25" s="1769" customFormat="1" ht="14.25" customHeight="1">
      <c r="A113" s="4345"/>
      <c r="B113" s="1778" t="s">
        <v>24</v>
      </c>
      <c r="C113" s="4136"/>
      <c r="D113" s="1723">
        <f>+M113+O113+P113+Q113+R113+S113+T113+U113+V113+W113</f>
        <v>1010</v>
      </c>
      <c r="E113" s="1705"/>
      <c r="F113" s="1726"/>
      <c r="G113" s="1726"/>
      <c r="H113" s="1705"/>
      <c r="I113" s="1705"/>
      <c r="J113" s="1705"/>
      <c r="K113" s="1705"/>
      <c r="L113" s="1705">
        <v>1795</v>
      </c>
      <c r="M113" s="1701">
        <v>0</v>
      </c>
      <c r="N113" s="1726">
        <v>0</v>
      </c>
      <c r="O113" s="1726">
        <v>1010</v>
      </c>
      <c r="P113" s="1726"/>
      <c r="Q113" s="1726"/>
      <c r="R113" s="1726"/>
      <c r="S113" s="1726"/>
      <c r="T113" s="1726"/>
      <c r="U113" s="1726"/>
      <c r="V113" s="1726"/>
      <c r="W113" s="1726"/>
      <c r="X113" s="1745">
        <f>+P113+Q113+R113+S113</f>
        <v>0</v>
      </c>
      <c r="Y113" s="4639"/>
    </row>
    <row r="114" spans="1:25" s="1769" customFormat="1" ht="14.25" customHeight="1">
      <c r="A114" s="4345"/>
      <c r="B114" s="1747" t="s">
        <v>30</v>
      </c>
      <c r="C114" s="4136"/>
      <c r="D114" s="1727">
        <f>D115</f>
        <v>412433</v>
      </c>
      <c r="E114" s="1728">
        <f t="shared" ref="E114:M114" si="93">+E115</f>
        <v>0</v>
      </c>
      <c r="F114" s="1728">
        <f t="shared" si="93"/>
        <v>0</v>
      </c>
      <c r="G114" s="1728">
        <f t="shared" si="93"/>
        <v>0</v>
      </c>
      <c r="H114" s="1728">
        <f t="shared" si="93"/>
        <v>0</v>
      </c>
      <c r="I114" s="1748">
        <f t="shared" si="93"/>
        <v>0</v>
      </c>
      <c r="J114" s="1748">
        <f t="shared" si="93"/>
        <v>0</v>
      </c>
      <c r="K114" s="1748">
        <f t="shared" si="93"/>
        <v>0</v>
      </c>
      <c r="L114" s="1748">
        <f t="shared" si="93"/>
        <v>0</v>
      </c>
      <c r="M114" s="1748">
        <f t="shared" si="93"/>
        <v>0</v>
      </c>
      <c r="N114" s="1749">
        <f>N115</f>
        <v>0</v>
      </c>
      <c r="O114" s="1749">
        <f>O115</f>
        <v>412433</v>
      </c>
      <c r="P114" s="1749">
        <v>0</v>
      </c>
      <c r="Q114" s="1749">
        <v>0</v>
      </c>
      <c r="R114" s="1749">
        <v>0</v>
      </c>
      <c r="S114" s="1749">
        <v>0</v>
      </c>
      <c r="T114" s="1749">
        <v>0</v>
      </c>
      <c r="U114" s="1749">
        <v>0</v>
      </c>
      <c r="V114" s="1749">
        <v>0</v>
      </c>
      <c r="W114" s="1749">
        <v>0</v>
      </c>
      <c r="X114" s="1697">
        <f>+X115</f>
        <v>0</v>
      </c>
      <c r="Y114" s="4640"/>
    </row>
    <row r="115" spans="1:25" s="1769" customFormat="1" ht="15" customHeight="1">
      <c r="A115" s="4345"/>
      <c r="B115" s="1419" t="s">
        <v>33</v>
      </c>
      <c r="C115" s="4159"/>
      <c r="D115" s="1723">
        <f>+M115+O115+P115+Q115+R115+S115+T115+U115+V115+W115</f>
        <v>412433</v>
      </c>
      <c r="E115" s="1705"/>
      <c r="F115" s="1726">
        <v>0</v>
      </c>
      <c r="G115" s="1726"/>
      <c r="H115" s="1705"/>
      <c r="I115" s="1705"/>
      <c r="J115" s="1705"/>
      <c r="K115" s="1705"/>
      <c r="L115" s="1705"/>
      <c r="M115" s="1701">
        <f>+L115+K115+J115+I115+N115</f>
        <v>0</v>
      </c>
      <c r="N115" s="1726">
        <v>0</v>
      </c>
      <c r="O115" s="1726">
        <v>412433</v>
      </c>
      <c r="P115" s="1726">
        <v>0</v>
      </c>
      <c r="Q115" s="1726">
        <v>0</v>
      </c>
      <c r="R115" s="1726">
        <v>0</v>
      </c>
      <c r="S115" s="1726">
        <v>0</v>
      </c>
      <c r="T115" s="1726">
        <v>0</v>
      </c>
      <c r="U115" s="1726">
        <v>0</v>
      </c>
      <c r="V115" s="1726">
        <v>0</v>
      </c>
      <c r="W115" s="1726">
        <v>0</v>
      </c>
      <c r="X115" s="1745">
        <f>+P115+Q115+R115+S115</f>
        <v>0</v>
      </c>
      <c r="Y115" s="4640"/>
    </row>
    <row r="116" spans="1:25" s="1769" customFormat="1" ht="14.25" customHeight="1">
      <c r="A116" s="4345"/>
      <c r="B116" s="381" t="s">
        <v>34</v>
      </c>
      <c r="C116" s="382"/>
      <c r="D116" s="1729">
        <f t="shared" ref="D116" si="94">I116+J116+K116+L116+N116+O116+P116+Q116+R116</f>
        <v>412433</v>
      </c>
      <c r="E116" s="1729">
        <f t="shared" ref="E116:N117" si="95">+E117</f>
        <v>0</v>
      </c>
      <c r="F116" s="1729">
        <f t="shared" si="95"/>
        <v>0</v>
      </c>
      <c r="G116" s="1729">
        <f t="shared" si="95"/>
        <v>0</v>
      </c>
      <c r="H116" s="1729">
        <f t="shared" si="95"/>
        <v>0</v>
      </c>
      <c r="I116" s="1729">
        <f t="shared" si="95"/>
        <v>0</v>
      </c>
      <c r="J116" s="1729">
        <f t="shared" si="95"/>
        <v>0</v>
      </c>
      <c r="K116" s="1729">
        <f t="shared" si="95"/>
        <v>0</v>
      </c>
      <c r="L116" s="1729">
        <f t="shared" si="95"/>
        <v>0</v>
      </c>
      <c r="M116" s="1729">
        <f t="shared" si="95"/>
        <v>0</v>
      </c>
      <c r="N116" s="1729">
        <f t="shared" si="95"/>
        <v>0</v>
      </c>
      <c r="O116" s="1729">
        <f t="shared" ref="O116:W117" si="96">O117</f>
        <v>412433</v>
      </c>
      <c r="P116" s="1729">
        <f t="shared" si="96"/>
        <v>0</v>
      </c>
      <c r="Q116" s="1729">
        <f t="shared" si="96"/>
        <v>0</v>
      </c>
      <c r="R116" s="1729">
        <f t="shared" si="96"/>
        <v>0</v>
      </c>
      <c r="S116" s="1729">
        <f t="shared" si="96"/>
        <v>0</v>
      </c>
      <c r="T116" s="1729">
        <f t="shared" si="96"/>
        <v>0</v>
      </c>
      <c r="U116" s="1729">
        <f t="shared" si="96"/>
        <v>0</v>
      </c>
      <c r="V116" s="1729">
        <f t="shared" si="96"/>
        <v>0</v>
      </c>
      <c r="W116" s="1729">
        <f t="shared" si="96"/>
        <v>0</v>
      </c>
      <c r="X116" s="4642" t="s">
        <v>77</v>
      </c>
      <c r="Y116" s="4640"/>
    </row>
    <row r="117" spans="1:25" s="1769" customFormat="1" ht="14.25" customHeight="1">
      <c r="A117" s="4345"/>
      <c r="B117" s="779" t="s">
        <v>30</v>
      </c>
      <c r="C117" s="4641" t="s">
        <v>102</v>
      </c>
      <c r="D117" s="1727">
        <f>I117+J117+K117+L117+N117+O117+P117+Q117+R117</f>
        <v>412433</v>
      </c>
      <c r="E117" s="1728">
        <f t="shared" si="95"/>
        <v>0</v>
      </c>
      <c r="F117" s="1728">
        <f t="shared" si="95"/>
        <v>0</v>
      </c>
      <c r="G117" s="1728">
        <f t="shared" si="95"/>
        <v>0</v>
      </c>
      <c r="H117" s="1728">
        <f t="shared" si="95"/>
        <v>0</v>
      </c>
      <c r="I117" s="1728">
        <f t="shared" si="95"/>
        <v>0</v>
      </c>
      <c r="J117" s="1728">
        <f t="shared" si="95"/>
        <v>0</v>
      </c>
      <c r="K117" s="1728">
        <f t="shared" si="95"/>
        <v>0</v>
      </c>
      <c r="L117" s="1728">
        <f t="shared" si="95"/>
        <v>0</v>
      </c>
      <c r="M117" s="1728">
        <f t="shared" si="95"/>
        <v>0</v>
      </c>
      <c r="N117" s="1728">
        <f t="shared" si="95"/>
        <v>0</v>
      </c>
      <c r="O117" s="1728">
        <f t="shared" si="96"/>
        <v>412433</v>
      </c>
      <c r="P117" s="1728">
        <f t="shared" si="96"/>
        <v>0</v>
      </c>
      <c r="Q117" s="1728">
        <f t="shared" si="96"/>
        <v>0</v>
      </c>
      <c r="R117" s="1728">
        <f t="shared" si="96"/>
        <v>0</v>
      </c>
      <c r="S117" s="1728">
        <f t="shared" si="96"/>
        <v>0</v>
      </c>
      <c r="T117" s="1728">
        <f t="shared" si="96"/>
        <v>0</v>
      </c>
      <c r="U117" s="1728">
        <f t="shared" si="96"/>
        <v>0</v>
      </c>
      <c r="V117" s="1728">
        <f t="shared" si="96"/>
        <v>0</v>
      </c>
      <c r="W117" s="1728">
        <f t="shared" si="96"/>
        <v>0</v>
      </c>
      <c r="X117" s="4003"/>
      <c r="Y117" s="4640"/>
    </row>
    <row r="118" spans="1:25" s="1769" customFormat="1" ht="14.25" customHeight="1" thickBot="1">
      <c r="A118" s="4346"/>
      <c r="B118" s="1770" t="s">
        <v>33</v>
      </c>
      <c r="C118" s="4126"/>
      <c r="D118" s="540">
        <f>+M118+O118+P118+Q118+R118+S118+T118+U118+V118+W118</f>
        <v>412433</v>
      </c>
      <c r="E118" s="498"/>
      <c r="F118" s="499"/>
      <c r="G118" s="498"/>
      <c r="H118" s="498"/>
      <c r="I118" s="498">
        <v>0</v>
      </c>
      <c r="J118" s="498">
        <v>0</v>
      </c>
      <c r="K118" s="498">
        <v>0</v>
      </c>
      <c r="L118" s="498">
        <v>0</v>
      </c>
      <c r="M118" s="498">
        <f>+L118+K118+J118+I118+N118</f>
        <v>0</v>
      </c>
      <c r="N118" s="499"/>
      <c r="O118" s="498">
        <v>412433</v>
      </c>
      <c r="P118" s="498">
        <v>0</v>
      </c>
      <c r="Q118" s="498">
        <v>0</v>
      </c>
      <c r="R118" s="498">
        <v>0</v>
      </c>
      <c r="S118" s="498">
        <v>0</v>
      </c>
      <c r="T118" s="498">
        <v>0</v>
      </c>
      <c r="U118" s="498">
        <v>0</v>
      </c>
      <c r="V118" s="498">
        <v>0</v>
      </c>
      <c r="W118" s="498">
        <v>0</v>
      </c>
      <c r="X118" s="4004"/>
      <c r="Y118" s="4512"/>
    </row>
    <row r="119" spans="1:25" ht="31.5" customHeight="1" thickBot="1">
      <c r="A119" s="857" t="s">
        <v>267</v>
      </c>
      <c r="B119" s="858"/>
      <c r="C119" s="858"/>
      <c r="D119" s="858"/>
      <c r="E119" s="859"/>
      <c r="F119" s="858"/>
      <c r="G119" s="858"/>
      <c r="H119" s="858"/>
      <c r="I119" s="858"/>
      <c r="J119" s="858"/>
      <c r="K119" s="858"/>
      <c r="L119" s="858"/>
      <c r="M119" s="858"/>
      <c r="N119" s="858"/>
      <c r="O119" s="858"/>
      <c r="P119" s="858"/>
      <c r="Q119" s="858"/>
      <c r="R119" s="858"/>
      <c r="S119" s="858"/>
      <c r="T119" s="858"/>
      <c r="U119" s="858"/>
      <c r="V119" s="858"/>
      <c r="W119" s="858"/>
      <c r="X119" s="860"/>
      <c r="Y119" s="861"/>
    </row>
    <row r="120" spans="1:25" ht="18.75" customHeight="1">
      <c r="A120" s="1134"/>
      <c r="B120" s="990" t="s">
        <v>92</v>
      </c>
      <c r="C120" s="1617"/>
      <c r="D120" s="992">
        <f>+D121+D122</f>
        <v>7742800</v>
      </c>
      <c r="E120" s="992">
        <f t="shared" ref="E120:Q120" si="97">+E121+E122</f>
        <v>0</v>
      </c>
      <c r="F120" s="992">
        <f t="shared" si="97"/>
        <v>0</v>
      </c>
      <c r="G120" s="992">
        <f t="shared" si="97"/>
        <v>0</v>
      </c>
      <c r="H120" s="992">
        <f t="shared" si="97"/>
        <v>0</v>
      </c>
      <c r="I120" s="992">
        <f t="shared" si="97"/>
        <v>0</v>
      </c>
      <c r="J120" s="992">
        <f t="shared" si="97"/>
        <v>0</v>
      </c>
      <c r="K120" s="992">
        <f t="shared" si="97"/>
        <v>1341</v>
      </c>
      <c r="L120" s="992">
        <f t="shared" si="97"/>
        <v>11218</v>
      </c>
      <c r="M120" s="992">
        <f t="shared" si="97"/>
        <v>2798000</v>
      </c>
      <c r="N120" s="992">
        <f t="shared" si="97"/>
        <v>2798000</v>
      </c>
      <c r="O120" s="992">
        <f t="shared" si="97"/>
        <v>2378300</v>
      </c>
      <c r="P120" s="992">
        <f t="shared" si="97"/>
        <v>2566500</v>
      </c>
      <c r="Q120" s="992">
        <f t="shared" si="97"/>
        <v>0</v>
      </c>
      <c r="R120" s="992">
        <f t="shared" ref="R120:T120" si="98">+R121+R122</f>
        <v>0</v>
      </c>
      <c r="S120" s="992">
        <f t="shared" si="98"/>
        <v>0</v>
      </c>
      <c r="T120" s="992">
        <f t="shared" si="98"/>
        <v>0</v>
      </c>
      <c r="U120" s="992">
        <f t="shared" ref="U120:W120" si="99">+U121+U122</f>
        <v>0</v>
      </c>
      <c r="V120" s="992">
        <f t="shared" si="99"/>
        <v>0</v>
      </c>
      <c r="W120" s="992">
        <f t="shared" si="99"/>
        <v>0</v>
      </c>
      <c r="X120" s="351">
        <f>+X121+X122</f>
        <v>2566500</v>
      </c>
      <c r="Y120" s="4453"/>
    </row>
    <row r="121" spans="1:25" ht="14.25" customHeight="1">
      <c r="A121" s="851"/>
      <c r="B121" s="993" t="s">
        <v>93</v>
      </c>
      <c r="C121" s="995"/>
      <c r="D121" s="995">
        <f>+N121+O121+P121+Q121</f>
        <v>7742800</v>
      </c>
      <c r="E121" s="995">
        <f>+E135</f>
        <v>0</v>
      </c>
      <c r="F121" s="995">
        <f>+F133</f>
        <v>0</v>
      </c>
      <c r="G121" s="995">
        <f t="shared" ref="G121:H121" si="100">+G133</f>
        <v>0</v>
      </c>
      <c r="H121" s="995">
        <f t="shared" si="100"/>
        <v>0</v>
      </c>
      <c r="I121" s="995">
        <f>+I135</f>
        <v>0</v>
      </c>
      <c r="J121" s="995">
        <f>+J135</f>
        <v>0</v>
      </c>
      <c r="K121" s="995">
        <f>+K135</f>
        <v>1341</v>
      </c>
      <c r="L121" s="995">
        <f>+L135</f>
        <v>11218</v>
      </c>
      <c r="M121" s="995">
        <f t="shared" ref="M121" si="101">M131+M135</f>
        <v>2798000</v>
      </c>
      <c r="N121" s="995">
        <f>N131+N135</f>
        <v>2798000</v>
      </c>
      <c r="O121" s="995">
        <f t="shared" ref="O121:T121" si="102">O131+O135</f>
        <v>2378300</v>
      </c>
      <c r="P121" s="995">
        <f t="shared" si="102"/>
        <v>2566500</v>
      </c>
      <c r="Q121" s="995">
        <f t="shared" si="102"/>
        <v>0</v>
      </c>
      <c r="R121" s="995">
        <f t="shared" si="102"/>
        <v>0</v>
      </c>
      <c r="S121" s="995">
        <f t="shared" si="102"/>
        <v>0</v>
      </c>
      <c r="T121" s="995">
        <f t="shared" si="102"/>
        <v>0</v>
      </c>
      <c r="U121" s="995">
        <f t="shared" ref="U121:W121" si="103">U131+U135</f>
        <v>0</v>
      </c>
      <c r="V121" s="995">
        <f t="shared" si="103"/>
        <v>0</v>
      </c>
      <c r="W121" s="995">
        <f t="shared" si="103"/>
        <v>0</v>
      </c>
      <c r="X121" s="354">
        <f>SUM(P121:S121)</f>
        <v>2566500</v>
      </c>
      <c r="Y121" s="4454"/>
    </row>
    <row r="122" spans="1:25" ht="14.25" customHeight="1" thickBot="1">
      <c r="A122" s="851"/>
      <c r="B122" s="1021" t="s">
        <v>21</v>
      </c>
      <c r="C122" s="1018"/>
      <c r="D122" s="1018">
        <v>0</v>
      </c>
      <c r="E122" s="1018">
        <f>+E131</f>
        <v>0</v>
      </c>
      <c r="F122" s="1018">
        <v>0</v>
      </c>
      <c r="G122" s="1018">
        <v>0</v>
      </c>
      <c r="H122" s="1018">
        <v>0</v>
      </c>
      <c r="I122" s="1018">
        <f>+I131</f>
        <v>0</v>
      </c>
      <c r="J122" s="1018">
        <f>+J131</f>
        <v>0</v>
      </c>
      <c r="K122" s="1018">
        <f t="shared" ref="K122:Q122" si="104">+K131</f>
        <v>0</v>
      </c>
      <c r="L122" s="1018">
        <f t="shared" si="104"/>
        <v>0</v>
      </c>
      <c r="M122" s="1018">
        <v>0</v>
      </c>
      <c r="N122" s="1018">
        <v>0</v>
      </c>
      <c r="O122" s="1018">
        <v>0</v>
      </c>
      <c r="P122" s="1018">
        <v>0</v>
      </c>
      <c r="Q122" s="1018">
        <f t="shared" si="104"/>
        <v>0</v>
      </c>
      <c r="R122" s="1018">
        <f t="shared" ref="R122:T122" si="105">+R131</f>
        <v>0</v>
      </c>
      <c r="S122" s="1018">
        <f t="shared" si="105"/>
        <v>0</v>
      </c>
      <c r="T122" s="1018">
        <f t="shared" si="105"/>
        <v>0</v>
      </c>
      <c r="U122" s="1018">
        <f t="shared" ref="U122:W122" si="106">+U131</f>
        <v>0</v>
      </c>
      <c r="V122" s="1018">
        <f t="shared" si="106"/>
        <v>0</v>
      </c>
      <c r="W122" s="1018">
        <f t="shared" si="106"/>
        <v>0</v>
      </c>
      <c r="X122" s="744">
        <f>SUM(P122:T122)</f>
        <v>0</v>
      </c>
      <c r="Y122" s="4454"/>
    </row>
    <row r="123" spans="1:25" ht="16.5" customHeight="1">
      <c r="A123" s="745"/>
      <c r="B123" s="524" t="s">
        <v>22</v>
      </c>
      <c r="C123" s="840"/>
      <c r="D123" s="862">
        <f t="shared" ref="D123:W123" si="107">+D124</f>
        <v>7742800</v>
      </c>
      <c r="E123" s="862">
        <f t="shared" si="107"/>
        <v>0</v>
      </c>
      <c r="F123" s="862">
        <f t="shared" si="107"/>
        <v>0</v>
      </c>
      <c r="G123" s="862">
        <f t="shared" si="107"/>
        <v>0</v>
      </c>
      <c r="H123" s="862">
        <f t="shared" si="107"/>
        <v>0</v>
      </c>
      <c r="I123" s="862">
        <f t="shared" si="107"/>
        <v>0</v>
      </c>
      <c r="J123" s="862">
        <f t="shared" si="107"/>
        <v>0</v>
      </c>
      <c r="K123" s="862">
        <f t="shared" si="107"/>
        <v>1341</v>
      </c>
      <c r="L123" s="862">
        <f t="shared" si="107"/>
        <v>11218</v>
      </c>
      <c r="M123" s="862">
        <f t="shared" si="107"/>
        <v>2798000</v>
      </c>
      <c r="N123" s="862">
        <f t="shared" si="107"/>
        <v>2798000</v>
      </c>
      <c r="O123" s="862">
        <f t="shared" si="107"/>
        <v>2378300</v>
      </c>
      <c r="P123" s="862">
        <f t="shared" si="107"/>
        <v>2566500</v>
      </c>
      <c r="Q123" s="862">
        <f t="shared" si="107"/>
        <v>0</v>
      </c>
      <c r="R123" s="862">
        <f t="shared" si="107"/>
        <v>0</v>
      </c>
      <c r="S123" s="862">
        <f t="shared" si="107"/>
        <v>0</v>
      </c>
      <c r="T123" s="862">
        <f t="shared" si="107"/>
        <v>0</v>
      </c>
      <c r="U123" s="862">
        <f t="shared" si="107"/>
        <v>0</v>
      </c>
      <c r="V123" s="862">
        <f t="shared" si="107"/>
        <v>0</v>
      </c>
      <c r="W123" s="862">
        <f t="shared" si="107"/>
        <v>0</v>
      </c>
      <c r="X123" s="842">
        <f>+X124</f>
        <v>2566500</v>
      </c>
      <c r="Y123" s="4454"/>
    </row>
    <row r="124" spans="1:25" ht="15" customHeight="1">
      <c r="A124" s="863"/>
      <c r="B124" s="749" t="s">
        <v>23</v>
      </c>
      <c r="C124" s="4649" t="s">
        <v>77</v>
      </c>
      <c r="D124" s="864">
        <f t="shared" ref="D124:M124" si="108">+D126</f>
        <v>7742800</v>
      </c>
      <c r="E124" s="864">
        <f t="shared" si="108"/>
        <v>0</v>
      </c>
      <c r="F124" s="864">
        <f t="shared" si="108"/>
        <v>0</v>
      </c>
      <c r="G124" s="864">
        <f t="shared" si="108"/>
        <v>0</v>
      </c>
      <c r="H124" s="864">
        <f t="shared" si="108"/>
        <v>0</v>
      </c>
      <c r="I124" s="864">
        <f t="shared" si="108"/>
        <v>0</v>
      </c>
      <c r="J124" s="864">
        <f t="shared" si="108"/>
        <v>0</v>
      </c>
      <c r="K124" s="864">
        <f t="shared" si="108"/>
        <v>1341</v>
      </c>
      <c r="L124" s="864">
        <f t="shared" si="108"/>
        <v>11218</v>
      </c>
      <c r="M124" s="864">
        <f t="shared" si="108"/>
        <v>2798000</v>
      </c>
      <c r="N124" s="864">
        <f>+N125+N126</f>
        <v>2798000</v>
      </c>
      <c r="O124" s="864">
        <f t="shared" ref="O124:T124" si="109">+O125+O126</f>
        <v>2378300</v>
      </c>
      <c r="P124" s="864">
        <f t="shared" si="109"/>
        <v>2566500</v>
      </c>
      <c r="Q124" s="864">
        <f t="shared" si="109"/>
        <v>0</v>
      </c>
      <c r="R124" s="864">
        <f t="shared" si="109"/>
        <v>0</v>
      </c>
      <c r="S124" s="864">
        <f t="shared" si="109"/>
        <v>0</v>
      </c>
      <c r="T124" s="864">
        <f t="shared" si="109"/>
        <v>0</v>
      </c>
      <c r="U124" s="864">
        <f t="shared" ref="U124:W124" si="110">+U125+U126</f>
        <v>0</v>
      </c>
      <c r="V124" s="864">
        <f t="shared" si="110"/>
        <v>0</v>
      </c>
      <c r="W124" s="864">
        <f t="shared" si="110"/>
        <v>0</v>
      </c>
      <c r="X124" s="509">
        <f t="shared" ref="X124" si="111">+X125+X126</f>
        <v>2566500</v>
      </c>
      <c r="Y124" s="4454"/>
    </row>
    <row r="125" spans="1:25" ht="13.5" hidden="1" customHeight="1">
      <c r="A125" s="863"/>
      <c r="B125" s="754" t="s">
        <v>78</v>
      </c>
      <c r="C125" s="4457"/>
      <c r="D125" s="728">
        <f t="shared" ref="D125" si="112">+M125+N125+O125+P125+Q125+R125+S125+T125</f>
        <v>0</v>
      </c>
      <c r="E125" s="864"/>
      <c r="F125" s="864"/>
      <c r="G125" s="864"/>
      <c r="H125" s="864"/>
      <c r="I125" s="864"/>
      <c r="J125" s="864"/>
      <c r="K125" s="864"/>
      <c r="L125" s="864"/>
      <c r="M125" s="728">
        <f>M137</f>
        <v>0</v>
      </c>
      <c r="N125" s="728">
        <f>N137</f>
        <v>0</v>
      </c>
      <c r="O125" s="728">
        <f>O137</f>
        <v>0</v>
      </c>
      <c r="P125" s="728">
        <f t="shared" ref="P125:T125" si="113">P137</f>
        <v>0</v>
      </c>
      <c r="Q125" s="728">
        <f t="shared" si="113"/>
        <v>0</v>
      </c>
      <c r="R125" s="728">
        <f t="shared" si="113"/>
        <v>0</v>
      </c>
      <c r="S125" s="728">
        <f t="shared" si="113"/>
        <v>0</v>
      </c>
      <c r="T125" s="728">
        <f t="shared" si="113"/>
        <v>0</v>
      </c>
      <c r="U125" s="728">
        <f t="shared" ref="U125:W125" si="114">U137</f>
        <v>0</v>
      </c>
      <c r="V125" s="728">
        <f t="shared" si="114"/>
        <v>0</v>
      </c>
      <c r="W125" s="728">
        <f t="shared" si="114"/>
        <v>0</v>
      </c>
      <c r="X125" s="866">
        <f>X137</f>
        <v>0</v>
      </c>
      <c r="Y125" s="4454"/>
    </row>
    <row r="126" spans="1:25" ht="15.75" customHeight="1">
      <c r="A126" s="753"/>
      <c r="B126" s="754" t="s">
        <v>271</v>
      </c>
      <c r="C126" s="4457"/>
      <c r="D126" s="865">
        <f>+D133+D137</f>
        <v>7742800</v>
      </c>
      <c r="E126" s="865">
        <f t="shared" ref="E126:L126" si="115">+E133+E137</f>
        <v>0</v>
      </c>
      <c r="F126" s="865">
        <f t="shared" si="115"/>
        <v>0</v>
      </c>
      <c r="G126" s="865">
        <f t="shared" si="115"/>
        <v>0</v>
      </c>
      <c r="H126" s="865">
        <f t="shared" si="115"/>
        <v>0</v>
      </c>
      <c r="I126" s="865">
        <f t="shared" si="115"/>
        <v>0</v>
      </c>
      <c r="J126" s="865">
        <f t="shared" si="115"/>
        <v>0</v>
      </c>
      <c r="K126" s="865">
        <f t="shared" si="115"/>
        <v>1341</v>
      </c>
      <c r="L126" s="865">
        <f t="shared" si="115"/>
        <v>11218</v>
      </c>
      <c r="M126" s="865">
        <f>+M133+M137</f>
        <v>2798000</v>
      </c>
      <c r="N126" s="865">
        <f t="shared" ref="N126:T126" si="116">+N133</f>
        <v>2798000</v>
      </c>
      <c r="O126" s="865">
        <f t="shared" si="116"/>
        <v>2378300</v>
      </c>
      <c r="P126" s="865">
        <f t="shared" si="116"/>
        <v>2566500</v>
      </c>
      <c r="Q126" s="865">
        <f t="shared" si="116"/>
        <v>0</v>
      </c>
      <c r="R126" s="865">
        <f t="shared" si="116"/>
        <v>0</v>
      </c>
      <c r="S126" s="865">
        <f t="shared" si="116"/>
        <v>0</v>
      </c>
      <c r="T126" s="865">
        <f t="shared" si="116"/>
        <v>0</v>
      </c>
      <c r="U126" s="865">
        <f t="shared" ref="U126:W126" si="117">+U133</f>
        <v>0</v>
      </c>
      <c r="V126" s="865">
        <f t="shared" si="117"/>
        <v>0</v>
      </c>
      <c r="W126" s="865">
        <f t="shared" si="117"/>
        <v>0</v>
      </c>
      <c r="X126" s="866">
        <f>X133</f>
        <v>2566500</v>
      </c>
      <c r="Y126" s="4454"/>
    </row>
    <row r="127" spans="1:25" ht="18.75" customHeight="1">
      <c r="A127" s="727"/>
      <c r="B127" s="873" t="s">
        <v>34</v>
      </c>
      <c r="C127" s="382"/>
      <c r="D127" s="874">
        <f t="shared" ref="D127:D128" si="118">+M127+N127+O127+P127+Q127+R127+S127+T127</f>
        <v>0</v>
      </c>
      <c r="E127" s="875">
        <f t="shared" ref="E127:T128" si="119">E128</f>
        <v>0</v>
      </c>
      <c r="F127" s="875">
        <f t="shared" si="119"/>
        <v>0</v>
      </c>
      <c r="G127" s="875">
        <f t="shared" si="119"/>
        <v>0</v>
      </c>
      <c r="H127" s="875">
        <f t="shared" si="119"/>
        <v>0</v>
      </c>
      <c r="I127" s="875">
        <f t="shared" si="119"/>
        <v>0</v>
      </c>
      <c r="J127" s="875">
        <f t="shared" si="119"/>
        <v>0</v>
      </c>
      <c r="K127" s="875">
        <f t="shared" si="119"/>
        <v>0</v>
      </c>
      <c r="L127" s="875">
        <f t="shared" si="119"/>
        <v>0</v>
      </c>
      <c r="M127" s="875">
        <f t="shared" si="119"/>
        <v>0</v>
      </c>
      <c r="N127" s="875">
        <f t="shared" si="119"/>
        <v>0</v>
      </c>
      <c r="O127" s="875">
        <f>O138</f>
        <v>0</v>
      </c>
      <c r="P127" s="875">
        <f t="shared" si="119"/>
        <v>0</v>
      </c>
      <c r="Q127" s="875">
        <f t="shared" si="119"/>
        <v>0</v>
      </c>
      <c r="R127" s="875">
        <f t="shared" si="119"/>
        <v>0</v>
      </c>
      <c r="S127" s="875">
        <f t="shared" si="119"/>
        <v>0</v>
      </c>
      <c r="T127" s="875">
        <f t="shared" si="119"/>
        <v>0</v>
      </c>
      <c r="U127" s="875">
        <f t="shared" ref="U127:W127" si="120">U128</f>
        <v>0</v>
      </c>
      <c r="V127" s="875">
        <f t="shared" si="120"/>
        <v>0</v>
      </c>
      <c r="W127" s="875">
        <f t="shared" si="120"/>
        <v>0</v>
      </c>
      <c r="X127" s="4002" t="s">
        <v>77</v>
      </c>
      <c r="Y127" s="4454"/>
    </row>
    <row r="128" spans="1:25" ht="13.5" customHeight="1">
      <c r="A128" s="727"/>
      <c r="B128" s="877" t="s">
        <v>23</v>
      </c>
      <c r="C128" s="882"/>
      <c r="D128" s="1060">
        <f t="shared" si="118"/>
        <v>0</v>
      </c>
      <c r="E128" s="1060">
        <f t="shared" si="119"/>
        <v>0</v>
      </c>
      <c r="F128" s="1060">
        <f t="shared" si="119"/>
        <v>0</v>
      </c>
      <c r="G128" s="1060">
        <f t="shared" si="119"/>
        <v>0</v>
      </c>
      <c r="H128" s="1060">
        <f t="shared" si="119"/>
        <v>0</v>
      </c>
      <c r="I128" s="1060">
        <f t="shared" si="119"/>
        <v>0</v>
      </c>
      <c r="J128" s="1060">
        <f t="shared" si="119"/>
        <v>0</v>
      </c>
      <c r="K128" s="1060">
        <f t="shared" si="119"/>
        <v>0</v>
      </c>
      <c r="L128" s="1060">
        <f t="shared" si="119"/>
        <v>0</v>
      </c>
      <c r="M128" s="1060">
        <f t="shared" si="119"/>
        <v>0</v>
      </c>
      <c r="N128" s="1060">
        <f t="shared" si="119"/>
        <v>0</v>
      </c>
      <c r="O128" s="1060">
        <f>O139</f>
        <v>0</v>
      </c>
      <c r="P128" s="1060">
        <f>P129</f>
        <v>0</v>
      </c>
      <c r="Q128" s="1060">
        <f t="shared" si="119"/>
        <v>0</v>
      </c>
      <c r="R128" s="1060">
        <f t="shared" si="119"/>
        <v>0</v>
      </c>
      <c r="S128" s="1060">
        <f t="shared" si="119"/>
        <v>0</v>
      </c>
      <c r="T128" s="1060">
        <f t="shared" si="119"/>
        <v>0</v>
      </c>
      <c r="U128" s="1060">
        <f t="shared" ref="U128:W128" si="121">U129</f>
        <v>0</v>
      </c>
      <c r="V128" s="1060">
        <f t="shared" si="121"/>
        <v>0</v>
      </c>
      <c r="W128" s="1060">
        <f t="shared" si="121"/>
        <v>0</v>
      </c>
      <c r="X128" s="4003"/>
      <c r="Y128" s="4454"/>
    </row>
    <row r="129" spans="1:25" ht="13.5" customHeight="1" thickBot="1">
      <c r="A129" s="883"/>
      <c r="B129" s="1618" t="s">
        <v>78</v>
      </c>
      <c r="C129" s="1619"/>
      <c r="D129" s="1165">
        <f>+M129+N129+O129+P129+Q129+R129+S129+T129</f>
        <v>0</v>
      </c>
      <c r="E129" s="1165">
        <f t="shared" ref="E129:R129" si="122">E139+E157+E164+E171+E178+E148+E185+E192+E199+E206</f>
        <v>0</v>
      </c>
      <c r="F129" s="1165">
        <f t="shared" si="122"/>
        <v>0</v>
      </c>
      <c r="G129" s="1165">
        <f t="shared" si="122"/>
        <v>0</v>
      </c>
      <c r="H129" s="1165">
        <f t="shared" si="122"/>
        <v>0</v>
      </c>
      <c r="I129" s="1165">
        <f t="shared" si="122"/>
        <v>0</v>
      </c>
      <c r="J129" s="1165">
        <f t="shared" si="122"/>
        <v>0</v>
      </c>
      <c r="K129" s="1165">
        <f t="shared" si="122"/>
        <v>0</v>
      </c>
      <c r="L129" s="1165">
        <f t="shared" si="122"/>
        <v>0</v>
      </c>
      <c r="M129" s="1165">
        <f t="shared" si="122"/>
        <v>0</v>
      </c>
      <c r="N129" s="1165">
        <f t="shared" si="122"/>
        <v>0</v>
      </c>
      <c r="O129" s="1165">
        <f>O140</f>
        <v>0</v>
      </c>
      <c r="P129" s="1165">
        <f>P140</f>
        <v>0</v>
      </c>
      <c r="Q129" s="1165">
        <f t="shared" si="122"/>
        <v>0</v>
      </c>
      <c r="R129" s="1165">
        <f t="shared" si="122"/>
        <v>0</v>
      </c>
      <c r="S129" s="1165">
        <f>S140</f>
        <v>0</v>
      </c>
      <c r="T129" s="1165">
        <f t="shared" ref="T129:W129" si="123">T140</f>
        <v>0</v>
      </c>
      <c r="U129" s="1165">
        <f t="shared" si="123"/>
        <v>0</v>
      </c>
      <c r="V129" s="1165">
        <f t="shared" si="123"/>
        <v>0</v>
      </c>
      <c r="W129" s="1165">
        <f t="shared" si="123"/>
        <v>0</v>
      </c>
      <c r="X129" s="4004"/>
      <c r="Y129" s="4455"/>
    </row>
    <row r="130" spans="1:25" ht="27.75" customHeight="1">
      <c r="A130" s="4644" t="s">
        <v>79</v>
      </c>
      <c r="B130" s="833" t="s">
        <v>268</v>
      </c>
      <c r="C130" s="1766" t="s">
        <v>266</v>
      </c>
      <c r="D130" s="846"/>
      <c r="E130" s="775"/>
      <c r="F130" s="775"/>
      <c r="G130" s="775"/>
      <c r="H130" s="775"/>
      <c r="I130" s="775"/>
      <c r="J130" s="775"/>
      <c r="K130" s="775"/>
      <c r="L130" s="836"/>
      <c r="M130" s="836"/>
      <c r="N130" s="836"/>
      <c r="O130" s="836"/>
      <c r="P130" s="837"/>
      <c r="Q130" s="837"/>
      <c r="R130" s="837"/>
      <c r="S130" s="837"/>
      <c r="T130" s="836"/>
      <c r="U130" s="836"/>
      <c r="V130" s="836"/>
      <c r="W130" s="836"/>
      <c r="X130" s="838"/>
      <c r="Y130" s="4647" t="s">
        <v>269</v>
      </c>
    </row>
    <row r="131" spans="1:25" s="887" customFormat="1" ht="15.75" customHeight="1">
      <c r="A131" s="4645"/>
      <c r="B131" s="381" t="s">
        <v>22</v>
      </c>
      <c r="C131" s="382"/>
      <c r="D131" s="874">
        <f t="shared" ref="D131:X132" si="124">+D132</f>
        <v>7742800</v>
      </c>
      <c r="E131" s="874">
        <f t="shared" si="124"/>
        <v>0</v>
      </c>
      <c r="F131" s="874">
        <f t="shared" si="124"/>
        <v>0</v>
      </c>
      <c r="G131" s="874">
        <f t="shared" si="124"/>
        <v>0</v>
      </c>
      <c r="H131" s="874">
        <f t="shared" si="124"/>
        <v>0</v>
      </c>
      <c r="I131" s="874">
        <f t="shared" si="124"/>
        <v>0</v>
      </c>
      <c r="J131" s="874">
        <f t="shared" si="124"/>
        <v>0</v>
      </c>
      <c r="K131" s="874">
        <f t="shared" si="124"/>
        <v>0</v>
      </c>
      <c r="L131" s="874">
        <f t="shared" si="124"/>
        <v>0</v>
      </c>
      <c r="M131" s="874">
        <f t="shared" si="124"/>
        <v>2798000</v>
      </c>
      <c r="N131" s="874">
        <f t="shared" si="124"/>
        <v>2798000</v>
      </c>
      <c r="O131" s="874">
        <f t="shared" si="124"/>
        <v>2378300</v>
      </c>
      <c r="P131" s="874">
        <f t="shared" si="124"/>
        <v>2566500</v>
      </c>
      <c r="Q131" s="874">
        <f t="shared" si="124"/>
        <v>0</v>
      </c>
      <c r="R131" s="874">
        <f t="shared" si="124"/>
        <v>0</v>
      </c>
      <c r="S131" s="874">
        <f t="shared" si="124"/>
        <v>0</v>
      </c>
      <c r="T131" s="874">
        <f t="shared" si="124"/>
        <v>0</v>
      </c>
      <c r="U131" s="874">
        <f t="shared" si="124"/>
        <v>0</v>
      </c>
      <c r="V131" s="874">
        <f t="shared" si="124"/>
        <v>0</v>
      </c>
      <c r="W131" s="874">
        <f t="shared" si="124"/>
        <v>0</v>
      </c>
      <c r="X131" s="958">
        <f t="shared" si="124"/>
        <v>2566500</v>
      </c>
      <c r="Y131" s="4355"/>
    </row>
    <row r="132" spans="1:25" s="887" customFormat="1" ht="14.25" customHeight="1">
      <c r="A132" s="4645"/>
      <c r="B132" s="1671" t="s">
        <v>36</v>
      </c>
      <c r="C132" s="4129" t="s">
        <v>270</v>
      </c>
      <c r="D132" s="571">
        <f t="shared" si="124"/>
        <v>7742800</v>
      </c>
      <c r="E132" s="467">
        <f t="shared" si="124"/>
        <v>0</v>
      </c>
      <c r="F132" s="467">
        <f t="shared" si="124"/>
        <v>0</v>
      </c>
      <c r="G132" s="467">
        <f t="shared" si="124"/>
        <v>0</v>
      </c>
      <c r="H132" s="467">
        <f t="shared" si="124"/>
        <v>0</v>
      </c>
      <c r="I132" s="571">
        <f t="shared" si="124"/>
        <v>0</v>
      </c>
      <c r="J132" s="571">
        <f t="shared" si="124"/>
        <v>0</v>
      </c>
      <c r="K132" s="571">
        <f t="shared" si="124"/>
        <v>0</v>
      </c>
      <c r="L132" s="571">
        <f t="shared" si="124"/>
        <v>0</v>
      </c>
      <c r="M132" s="571">
        <f t="shared" si="124"/>
        <v>2798000</v>
      </c>
      <c r="N132" s="577">
        <f>N133</f>
        <v>2798000</v>
      </c>
      <c r="O132" s="577">
        <f>O133</f>
        <v>2378300</v>
      </c>
      <c r="P132" s="577">
        <f>P133</f>
        <v>2566500</v>
      </c>
      <c r="Q132" s="577">
        <v>0</v>
      </c>
      <c r="R132" s="577">
        <v>0</v>
      </c>
      <c r="S132" s="577">
        <v>0</v>
      </c>
      <c r="T132" s="577">
        <v>0</v>
      </c>
      <c r="U132" s="577">
        <v>0</v>
      </c>
      <c r="V132" s="577">
        <v>0</v>
      </c>
      <c r="W132" s="577">
        <v>0</v>
      </c>
      <c r="X132" s="509">
        <f t="shared" si="124"/>
        <v>2566500</v>
      </c>
      <c r="Y132" s="4355"/>
    </row>
    <row r="133" spans="1:25" s="887" customFormat="1" ht="15.75" customHeight="1" thickBot="1">
      <c r="A133" s="4646"/>
      <c r="B133" s="1030" t="s">
        <v>271</v>
      </c>
      <c r="C133" s="4137"/>
      <c r="D133" s="541">
        <f>+M133+O133+P133+Q133+R133+S133+T133+U133+V133+W133</f>
        <v>7742800</v>
      </c>
      <c r="E133" s="498">
        <v>0</v>
      </c>
      <c r="F133" s="499">
        <v>0</v>
      </c>
      <c r="G133" s="499"/>
      <c r="H133" s="498"/>
      <c r="I133" s="498">
        <v>0</v>
      </c>
      <c r="J133" s="498">
        <v>0</v>
      </c>
      <c r="K133" s="498">
        <v>0</v>
      </c>
      <c r="L133" s="498">
        <v>0</v>
      </c>
      <c r="M133" s="498">
        <f>+L133+K133+J133+I133+N133</f>
        <v>2798000</v>
      </c>
      <c r="N133" s="499">
        <f>2758000+40000</f>
        <v>2798000</v>
      </c>
      <c r="O133" s="499">
        <f>1650000+728300</f>
        <v>2378300</v>
      </c>
      <c r="P133" s="499">
        <f>2828000-258000-3500</f>
        <v>2566500</v>
      </c>
      <c r="Q133" s="499">
        <v>0</v>
      </c>
      <c r="R133" s="499">
        <v>0</v>
      </c>
      <c r="S133" s="499">
        <v>0</v>
      </c>
      <c r="T133" s="499">
        <v>0</v>
      </c>
      <c r="U133" s="499">
        <v>0</v>
      </c>
      <c r="V133" s="499">
        <v>0</v>
      </c>
      <c r="W133" s="499">
        <v>0</v>
      </c>
      <c r="X133" s="1672">
        <f>+P133+Q133+R133+S133</f>
        <v>2566500</v>
      </c>
      <c r="Y133" s="4648"/>
    </row>
    <row r="134" spans="1:25" ht="40.5" hidden="1" customHeight="1">
      <c r="A134" s="4684" t="s">
        <v>80</v>
      </c>
      <c r="B134" s="1312" t="s">
        <v>399</v>
      </c>
      <c r="C134" s="1252" t="s">
        <v>266</v>
      </c>
      <c r="D134" s="1313"/>
      <c r="E134" s="1250"/>
      <c r="F134" s="1250"/>
      <c r="G134" s="1250"/>
      <c r="H134" s="1250"/>
      <c r="I134" s="1250"/>
      <c r="J134" s="1250"/>
      <c r="K134" s="1250"/>
      <c r="L134" s="1253"/>
      <c r="M134" s="1253"/>
      <c r="N134" s="1253"/>
      <c r="O134" s="1253"/>
      <c r="P134" s="1254"/>
      <c r="Q134" s="1254"/>
      <c r="R134" s="1254"/>
      <c r="S134" s="1254"/>
      <c r="T134" s="1253"/>
      <c r="U134" s="1253"/>
      <c r="V134" s="1253"/>
      <c r="W134" s="1253"/>
      <c r="X134" s="1255"/>
      <c r="Y134" s="4685" t="s">
        <v>398</v>
      </c>
    </row>
    <row r="135" spans="1:25" ht="17.25" hidden="1" customHeight="1">
      <c r="A135" s="4684"/>
      <c r="B135" s="657" t="s">
        <v>22</v>
      </c>
      <c r="C135" s="657"/>
      <c r="D135" s="1070">
        <f>M135+N135+O135+P135+Q135+R135</f>
        <v>0</v>
      </c>
      <c r="E135" s="1314">
        <f t="shared" ref="E135:X136" si="125">+E136</f>
        <v>0</v>
      </c>
      <c r="F135" s="1315">
        <f t="shared" si="125"/>
        <v>0</v>
      </c>
      <c r="G135" s="1315">
        <f t="shared" si="125"/>
        <v>0</v>
      </c>
      <c r="H135" s="1315">
        <f t="shared" si="125"/>
        <v>0</v>
      </c>
      <c r="I135" s="1315">
        <f t="shared" si="125"/>
        <v>0</v>
      </c>
      <c r="J135" s="1315">
        <f t="shared" si="125"/>
        <v>0</v>
      </c>
      <c r="K135" s="1315">
        <f t="shared" si="125"/>
        <v>1341</v>
      </c>
      <c r="L135" s="1316">
        <f t="shared" si="125"/>
        <v>11218</v>
      </c>
      <c r="M135" s="1070">
        <f>+M136</f>
        <v>0</v>
      </c>
      <c r="N135" s="1673">
        <f t="shared" si="125"/>
        <v>0</v>
      </c>
      <c r="O135" s="1317">
        <f t="shared" si="125"/>
        <v>0</v>
      </c>
      <c r="P135" s="1070">
        <f>+P136</f>
        <v>0</v>
      </c>
      <c r="Q135" s="1318">
        <f t="shared" si="125"/>
        <v>0</v>
      </c>
      <c r="R135" s="1317">
        <f t="shared" si="125"/>
        <v>0</v>
      </c>
      <c r="S135" s="1317">
        <f t="shared" si="125"/>
        <v>0</v>
      </c>
      <c r="T135" s="1318">
        <f t="shared" si="125"/>
        <v>0</v>
      </c>
      <c r="U135" s="1318"/>
      <c r="V135" s="1318"/>
      <c r="W135" s="1318"/>
      <c r="X135" s="487">
        <f t="shared" si="125"/>
        <v>0</v>
      </c>
      <c r="Y135" s="4685"/>
    </row>
    <row r="136" spans="1:25" ht="16.5" hidden="1" customHeight="1">
      <c r="A136" s="4684"/>
      <c r="B136" s="791" t="s">
        <v>400</v>
      </c>
      <c r="C136" s="4686" t="s">
        <v>397</v>
      </c>
      <c r="D136" s="1319">
        <f>M136+N136+O136+P136+Q136+R136</f>
        <v>0</v>
      </c>
      <c r="E136" s="1320">
        <f t="shared" si="125"/>
        <v>0</v>
      </c>
      <c r="F136" s="1320">
        <f t="shared" si="125"/>
        <v>0</v>
      </c>
      <c r="G136" s="1320">
        <f t="shared" si="125"/>
        <v>0</v>
      </c>
      <c r="H136" s="1320">
        <f t="shared" si="125"/>
        <v>0</v>
      </c>
      <c r="I136" s="1321">
        <f t="shared" si="125"/>
        <v>0</v>
      </c>
      <c r="J136" s="1321">
        <f t="shared" si="125"/>
        <v>0</v>
      </c>
      <c r="K136" s="1321">
        <f t="shared" si="125"/>
        <v>1341</v>
      </c>
      <c r="L136" s="1321">
        <f t="shared" si="125"/>
        <v>11218</v>
      </c>
      <c r="M136" s="1321">
        <f t="shared" si="125"/>
        <v>0</v>
      </c>
      <c r="N136" s="1321">
        <f>N137</f>
        <v>0</v>
      </c>
      <c r="O136" s="1321">
        <f>O137</f>
        <v>0</v>
      </c>
      <c r="P136" s="1321">
        <f>+P137</f>
        <v>0</v>
      </c>
      <c r="Q136" s="1321">
        <f>Q137</f>
        <v>0</v>
      </c>
      <c r="R136" s="1321">
        <f>R137</f>
        <v>0</v>
      </c>
      <c r="S136" s="1321">
        <f>S137</f>
        <v>0</v>
      </c>
      <c r="T136" s="1322">
        <f>T137</f>
        <v>0</v>
      </c>
      <c r="U136" s="1322"/>
      <c r="V136" s="1322"/>
      <c r="W136" s="1322"/>
      <c r="X136" s="509">
        <f>+X137</f>
        <v>0</v>
      </c>
      <c r="Y136" s="4685"/>
    </row>
    <row r="137" spans="1:25" ht="13.5" hidden="1" customHeight="1">
      <c r="A137" s="4684"/>
      <c r="B137" s="1323" t="s">
        <v>78</v>
      </c>
      <c r="C137" s="4687"/>
      <c r="D137" s="1324">
        <f>+M137+N137+O137+P137+Q137+R137+S137+T137</f>
        <v>0</v>
      </c>
      <c r="E137" s="1325"/>
      <c r="F137" s="1325">
        <v>0</v>
      </c>
      <c r="G137" s="1325"/>
      <c r="H137" s="1325"/>
      <c r="I137" s="1325"/>
      <c r="J137" s="1325"/>
      <c r="K137" s="1325">
        <v>1341</v>
      </c>
      <c r="L137" s="1325">
        <v>11218</v>
      </c>
      <c r="M137" s="1325">
        <v>0</v>
      </c>
      <c r="N137" s="1325">
        <v>0</v>
      </c>
      <c r="O137" s="1325">
        <v>0</v>
      </c>
      <c r="P137" s="1325">
        <v>0</v>
      </c>
      <c r="Q137" s="1325">
        <v>0</v>
      </c>
      <c r="R137" s="1325">
        <v>0</v>
      </c>
      <c r="S137" s="1325">
        <v>0</v>
      </c>
      <c r="T137" s="1325">
        <v>0</v>
      </c>
      <c r="U137" s="1325"/>
      <c r="V137" s="1325"/>
      <c r="W137" s="1325"/>
      <c r="X137" s="1326">
        <f>+P137+Q137+R137+S137</f>
        <v>0</v>
      </c>
      <c r="Y137" s="4685"/>
    </row>
    <row r="138" spans="1:25" ht="15.75" hidden="1" customHeight="1">
      <c r="A138" s="4684"/>
      <c r="B138" s="1327" t="s">
        <v>34</v>
      </c>
      <c r="C138" s="382"/>
      <c r="D138" s="1328">
        <f>MO138+N138+O138+P138+Q138+R138</f>
        <v>0</v>
      </c>
      <c r="E138" s="471">
        <f t="shared" ref="E138:N139" si="126">+E139</f>
        <v>0</v>
      </c>
      <c r="F138" s="471">
        <f t="shared" si="126"/>
        <v>0</v>
      </c>
      <c r="G138" s="471">
        <f t="shared" si="126"/>
        <v>0</v>
      </c>
      <c r="H138" s="471">
        <f t="shared" si="126"/>
        <v>0</v>
      </c>
      <c r="I138" s="471">
        <f t="shared" si="126"/>
        <v>0</v>
      </c>
      <c r="J138" s="471">
        <f t="shared" si="126"/>
        <v>0</v>
      </c>
      <c r="K138" s="471">
        <f t="shared" si="126"/>
        <v>0</v>
      </c>
      <c r="L138" s="471">
        <f t="shared" si="126"/>
        <v>0</v>
      </c>
      <c r="M138" s="471">
        <f t="shared" si="126"/>
        <v>0</v>
      </c>
      <c r="N138" s="471">
        <f t="shared" si="126"/>
        <v>0</v>
      </c>
      <c r="O138" s="471">
        <f t="shared" ref="O138:T139" si="127">O139</f>
        <v>0</v>
      </c>
      <c r="P138" s="471">
        <f t="shared" si="127"/>
        <v>0</v>
      </c>
      <c r="Q138" s="471">
        <f t="shared" si="127"/>
        <v>0</v>
      </c>
      <c r="R138" s="471">
        <f t="shared" si="127"/>
        <v>0</v>
      </c>
      <c r="S138" s="471">
        <f t="shared" si="127"/>
        <v>0</v>
      </c>
      <c r="T138" s="471">
        <f t="shared" si="127"/>
        <v>0</v>
      </c>
      <c r="U138" s="1581"/>
      <c r="V138" s="1581"/>
      <c r="W138" s="1581"/>
      <c r="X138" s="4003" t="s">
        <v>77</v>
      </c>
      <c r="Y138" s="4685"/>
    </row>
    <row r="139" spans="1:25" ht="16.5" hidden="1" customHeight="1">
      <c r="A139" s="4684"/>
      <c r="B139" s="791" t="s">
        <v>23</v>
      </c>
      <c r="C139" s="4174" t="s">
        <v>397</v>
      </c>
      <c r="D139" s="622">
        <f>M139+N139+O139+P139+Q139+R139</f>
        <v>0</v>
      </c>
      <c r="E139" s="467">
        <f t="shared" si="126"/>
        <v>0</v>
      </c>
      <c r="F139" s="467">
        <f t="shared" si="126"/>
        <v>0</v>
      </c>
      <c r="G139" s="467">
        <f t="shared" si="126"/>
        <v>0</v>
      </c>
      <c r="H139" s="467">
        <f t="shared" si="126"/>
        <v>0</v>
      </c>
      <c r="I139" s="467">
        <f t="shared" si="126"/>
        <v>0</v>
      </c>
      <c r="J139" s="467">
        <f t="shared" si="126"/>
        <v>0</v>
      </c>
      <c r="K139" s="467">
        <f t="shared" si="126"/>
        <v>0</v>
      </c>
      <c r="L139" s="467">
        <f t="shared" si="126"/>
        <v>0</v>
      </c>
      <c r="M139" s="467">
        <f t="shared" si="126"/>
        <v>0</v>
      </c>
      <c r="N139" s="467">
        <f t="shared" si="126"/>
        <v>0</v>
      </c>
      <c r="O139" s="467">
        <f t="shared" si="127"/>
        <v>0</v>
      </c>
      <c r="P139" s="467">
        <f t="shared" si="127"/>
        <v>0</v>
      </c>
      <c r="Q139" s="467">
        <f t="shared" si="127"/>
        <v>0</v>
      </c>
      <c r="R139" s="467">
        <f t="shared" si="127"/>
        <v>0</v>
      </c>
      <c r="S139" s="467">
        <f t="shared" si="127"/>
        <v>0</v>
      </c>
      <c r="T139" s="467">
        <f t="shared" si="127"/>
        <v>0</v>
      </c>
      <c r="U139" s="1556"/>
      <c r="V139" s="1556"/>
      <c r="W139" s="1556"/>
      <c r="X139" s="4003"/>
      <c r="Y139" s="4685"/>
    </row>
    <row r="140" spans="1:25" ht="13.5" hidden="1" customHeight="1" thickBot="1">
      <c r="A140" s="4684"/>
      <c r="B140" s="1770" t="s">
        <v>78</v>
      </c>
      <c r="C140" s="4126"/>
      <c r="D140" s="1329">
        <f>+M140+N140+O140+P140+Q140+R140+S140+T140</f>
        <v>0</v>
      </c>
      <c r="E140" s="498"/>
      <c r="F140" s="499"/>
      <c r="G140" s="498"/>
      <c r="H140" s="498"/>
      <c r="I140" s="498">
        <v>0</v>
      </c>
      <c r="J140" s="498">
        <v>0</v>
      </c>
      <c r="K140" s="498">
        <v>0</v>
      </c>
      <c r="L140" s="498">
        <v>0</v>
      </c>
      <c r="M140" s="499">
        <f>+L140+K140+J140+I140</f>
        <v>0</v>
      </c>
      <c r="N140" s="499"/>
      <c r="O140" s="498">
        <v>0</v>
      </c>
      <c r="P140" s="498">
        <v>0</v>
      </c>
      <c r="Q140" s="498">
        <v>0</v>
      </c>
      <c r="R140" s="498">
        <v>0</v>
      </c>
      <c r="S140" s="498">
        <v>0</v>
      </c>
      <c r="T140" s="498">
        <v>0</v>
      </c>
      <c r="U140" s="477"/>
      <c r="V140" s="477"/>
      <c r="W140" s="477"/>
      <c r="X140" s="4004"/>
      <c r="Y140" s="4685"/>
    </row>
    <row r="141" spans="1:25">
      <c r="E141" s="848"/>
      <c r="F141" s="848"/>
      <c r="G141" s="848"/>
      <c r="H141" s="848"/>
      <c r="I141" s="848"/>
      <c r="J141" s="848"/>
      <c r="K141" s="848"/>
      <c r="L141" s="848"/>
      <c r="M141" s="848"/>
      <c r="N141" s="848"/>
      <c r="O141" s="848"/>
      <c r="P141" s="848"/>
      <c r="Y141" s="849"/>
    </row>
    <row r="142" spans="1:25" ht="11.25" customHeight="1">
      <c r="A142" s="4683"/>
      <c r="B142" s="4683"/>
      <c r="C142" s="4683"/>
      <c r="D142" s="4683"/>
      <c r="E142" s="4683"/>
      <c r="F142" s="4683"/>
      <c r="G142" s="4683"/>
      <c r="H142" s="4683"/>
      <c r="I142" s="4683"/>
      <c r="J142" s="4683"/>
      <c r="K142" s="4683"/>
      <c r="L142" s="4683"/>
      <c r="M142" s="4683"/>
      <c r="N142" s="4683"/>
      <c r="O142" s="4683"/>
      <c r="P142" s="4683"/>
      <c r="Q142" s="4683"/>
      <c r="R142" s="4683"/>
      <c r="S142" s="4683"/>
      <c r="T142" s="4683"/>
      <c r="U142" s="4683"/>
      <c r="V142" s="4683"/>
      <c r="W142" s="4683"/>
      <c r="X142" s="4683"/>
      <c r="Y142" s="4683"/>
    </row>
    <row r="143" spans="1:25">
      <c r="A143" s="4683"/>
      <c r="B143" s="4683"/>
      <c r="C143" s="4683"/>
      <c r="D143" s="4683"/>
      <c r="E143" s="4683"/>
      <c r="F143" s="4683"/>
      <c r="G143" s="4683"/>
      <c r="H143" s="4683"/>
      <c r="I143" s="4683"/>
      <c r="J143" s="4683"/>
      <c r="K143" s="4683"/>
      <c r="L143" s="4683"/>
      <c r="M143" s="4683"/>
      <c r="N143" s="4683"/>
      <c r="O143" s="4683"/>
      <c r="P143" s="4683"/>
      <c r="Q143" s="4683"/>
      <c r="R143" s="4683"/>
      <c r="S143" s="4683"/>
      <c r="T143" s="4683"/>
      <c r="U143" s="4683"/>
      <c r="V143" s="4683"/>
      <c r="W143" s="4683"/>
      <c r="X143" s="4683"/>
      <c r="Y143" s="4683"/>
    </row>
    <row r="144" spans="1:25">
      <c r="E144" s="848"/>
      <c r="F144" s="848"/>
      <c r="G144" s="848"/>
      <c r="H144" s="848"/>
      <c r="I144" s="848"/>
      <c r="J144" s="848"/>
      <c r="K144" s="848"/>
      <c r="L144" s="848"/>
      <c r="M144" s="848"/>
      <c r="N144" s="848"/>
      <c r="O144" s="848"/>
      <c r="P144" s="848"/>
      <c r="Y144" s="849"/>
    </row>
    <row r="145" spans="5:25">
      <c r="E145" s="848"/>
      <c r="F145" s="848"/>
      <c r="G145" s="848"/>
      <c r="H145" s="848"/>
      <c r="I145" s="848"/>
      <c r="J145" s="848"/>
      <c r="K145" s="848"/>
      <c r="L145" s="848"/>
      <c r="M145" s="848"/>
      <c r="N145" s="848"/>
      <c r="O145" s="848"/>
      <c r="P145" s="848"/>
      <c r="Y145" s="849"/>
    </row>
    <row r="146" spans="5:25">
      <c r="E146" s="848"/>
      <c r="F146" s="848"/>
      <c r="G146" s="848"/>
      <c r="H146" s="848"/>
      <c r="I146" s="848"/>
      <c r="J146" s="848"/>
      <c r="K146" s="848"/>
      <c r="L146" s="848"/>
      <c r="M146" s="848"/>
      <c r="N146" s="848"/>
      <c r="O146" s="848"/>
      <c r="P146" s="848"/>
      <c r="Y146" s="849"/>
    </row>
    <row r="147" spans="5:25">
      <c r="E147" s="848"/>
      <c r="F147" s="848"/>
      <c r="G147" s="848"/>
      <c r="H147" s="848"/>
      <c r="I147" s="848"/>
      <c r="J147" s="848"/>
      <c r="K147" s="848"/>
      <c r="L147" s="848"/>
      <c r="M147" s="848"/>
      <c r="N147" s="848"/>
      <c r="O147" s="848"/>
      <c r="P147" s="848"/>
      <c r="Y147" s="849"/>
    </row>
    <row r="148" spans="5:25">
      <c r="E148" s="848"/>
      <c r="F148" s="848"/>
      <c r="G148" s="848"/>
      <c r="H148" s="848"/>
      <c r="I148" s="848"/>
      <c r="J148" s="848"/>
      <c r="K148" s="848"/>
      <c r="L148" s="848"/>
      <c r="M148" s="848"/>
      <c r="N148" s="848"/>
      <c r="O148" s="848"/>
      <c r="P148" s="848"/>
      <c r="Y148" s="849"/>
    </row>
    <row r="149" spans="5:25">
      <c r="E149" s="848"/>
      <c r="F149" s="848"/>
      <c r="G149" s="848"/>
      <c r="H149" s="848"/>
      <c r="I149" s="848"/>
      <c r="J149" s="848"/>
      <c r="K149" s="848"/>
      <c r="L149" s="848"/>
      <c r="M149" s="848"/>
      <c r="N149" s="848"/>
      <c r="O149" s="848"/>
      <c r="P149" s="848"/>
      <c r="Y149" s="849"/>
    </row>
    <row r="150" spans="5:25">
      <c r="E150" s="848"/>
      <c r="F150" s="848"/>
      <c r="G150" s="848"/>
      <c r="H150" s="848"/>
      <c r="I150" s="848"/>
      <c r="J150" s="848"/>
      <c r="K150" s="848"/>
      <c r="L150" s="848"/>
      <c r="M150" s="848"/>
      <c r="N150" s="848"/>
      <c r="O150" s="848"/>
      <c r="P150" s="848"/>
      <c r="Y150" s="849"/>
    </row>
    <row r="151" spans="5:25">
      <c r="E151" s="848"/>
      <c r="F151" s="848"/>
      <c r="G151" s="848"/>
      <c r="H151" s="848"/>
      <c r="I151" s="848"/>
      <c r="J151" s="848"/>
      <c r="K151" s="848"/>
      <c r="L151" s="848"/>
      <c r="M151" s="848"/>
      <c r="N151" s="848"/>
      <c r="O151" s="848"/>
      <c r="P151" s="848"/>
      <c r="Y151" s="849"/>
    </row>
    <row r="152" spans="5:25">
      <c r="E152" s="848"/>
      <c r="F152" s="848"/>
      <c r="G152" s="848"/>
      <c r="H152" s="848"/>
      <c r="I152" s="848"/>
      <c r="J152" s="848"/>
      <c r="K152" s="848"/>
      <c r="L152" s="848"/>
      <c r="M152" s="848"/>
      <c r="N152" s="848"/>
      <c r="O152" s="848"/>
      <c r="P152" s="848"/>
      <c r="Y152" s="849"/>
    </row>
    <row r="153" spans="5:25">
      <c r="E153" s="848"/>
      <c r="F153" s="848"/>
      <c r="G153" s="848"/>
      <c r="H153" s="848"/>
      <c r="I153" s="848"/>
      <c r="J153" s="848"/>
      <c r="K153" s="848"/>
      <c r="L153" s="848"/>
      <c r="M153" s="848"/>
      <c r="N153" s="848"/>
      <c r="O153" s="848"/>
      <c r="P153" s="848"/>
      <c r="Y153" s="849"/>
    </row>
    <row r="154" spans="5:25">
      <c r="E154" s="848"/>
      <c r="F154" s="848"/>
      <c r="G154" s="848"/>
      <c r="H154" s="848"/>
      <c r="I154" s="848"/>
      <c r="J154" s="848"/>
      <c r="K154" s="848"/>
      <c r="L154" s="848"/>
      <c r="M154" s="848"/>
      <c r="N154" s="848"/>
      <c r="O154" s="848"/>
      <c r="P154" s="848"/>
      <c r="Y154" s="849"/>
    </row>
    <row r="155" spans="5:25">
      <c r="E155" s="848"/>
      <c r="F155" s="848"/>
      <c r="G155" s="848"/>
      <c r="H155" s="848"/>
      <c r="I155" s="848"/>
      <c r="J155" s="848"/>
      <c r="K155" s="848"/>
      <c r="L155" s="848"/>
      <c r="M155" s="848"/>
      <c r="N155" s="848"/>
      <c r="O155" s="848"/>
      <c r="P155" s="848"/>
      <c r="Y155" s="849"/>
    </row>
    <row r="156" spans="5:25">
      <c r="E156" s="848"/>
      <c r="F156" s="848"/>
      <c r="G156" s="848"/>
      <c r="H156" s="848"/>
      <c r="I156" s="848"/>
      <c r="J156" s="848"/>
      <c r="K156" s="848"/>
      <c r="L156" s="848"/>
      <c r="M156" s="848"/>
      <c r="N156" s="848"/>
      <c r="O156" s="848"/>
      <c r="P156" s="848"/>
      <c r="Y156" s="849"/>
    </row>
    <row r="157" spans="5:25">
      <c r="E157" s="848"/>
      <c r="F157" s="848"/>
      <c r="G157" s="848"/>
      <c r="H157" s="848"/>
      <c r="I157" s="848"/>
      <c r="J157" s="848"/>
      <c r="K157" s="848"/>
      <c r="L157" s="848"/>
      <c r="M157" s="848"/>
      <c r="N157" s="848"/>
      <c r="O157" s="848"/>
      <c r="P157" s="848"/>
      <c r="Y157" s="849"/>
    </row>
    <row r="158" spans="5:25">
      <c r="E158" s="848"/>
      <c r="F158" s="848"/>
      <c r="G158" s="848"/>
      <c r="H158" s="848"/>
      <c r="I158" s="848"/>
      <c r="J158" s="848"/>
      <c r="K158" s="848"/>
      <c r="L158" s="848"/>
      <c r="M158" s="848"/>
      <c r="N158" s="848"/>
      <c r="O158" s="848"/>
      <c r="P158" s="848"/>
      <c r="Y158" s="849"/>
    </row>
    <row r="159" spans="5:25">
      <c r="E159" s="848"/>
      <c r="F159" s="848"/>
      <c r="G159" s="848"/>
      <c r="H159" s="848"/>
      <c r="I159" s="848"/>
      <c r="J159" s="848"/>
      <c r="K159" s="848"/>
      <c r="L159" s="848"/>
      <c r="M159" s="848"/>
      <c r="N159" s="848"/>
      <c r="O159" s="848"/>
      <c r="P159" s="848"/>
      <c r="Y159" s="849"/>
    </row>
    <row r="160" spans="5:25">
      <c r="E160" s="848"/>
      <c r="F160" s="848"/>
      <c r="G160" s="848"/>
      <c r="H160" s="848"/>
      <c r="I160" s="848"/>
      <c r="J160" s="848"/>
      <c r="K160" s="848"/>
      <c r="L160" s="848"/>
      <c r="M160" s="848"/>
      <c r="N160" s="848"/>
      <c r="O160" s="848"/>
      <c r="P160" s="848"/>
      <c r="Y160" s="849"/>
    </row>
    <row r="161" spans="5:25">
      <c r="E161" s="848"/>
      <c r="F161" s="848"/>
      <c r="G161" s="848"/>
      <c r="H161" s="848"/>
      <c r="I161" s="848"/>
      <c r="J161" s="848"/>
      <c r="K161" s="848"/>
      <c r="L161" s="848"/>
      <c r="M161" s="848"/>
      <c r="N161" s="848"/>
      <c r="O161" s="848"/>
      <c r="P161" s="848"/>
      <c r="Y161" s="849"/>
    </row>
    <row r="162" spans="5:25">
      <c r="E162" s="848"/>
      <c r="F162" s="848"/>
      <c r="G162" s="848"/>
      <c r="H162" s="848"/>
      <c r="I162" s="848"/>
      <c r="J162" s="848"/>
      <c r="K162" s="848"/>
      <c r="L162" s="848"/>
      <c r="M162" s="848"/>
      <c r="N162" s="848"/>
      <c r="O162" s="848"/>
      <c r="P162" s="848"/>
      <c r="Y162" s="849"/>
    </row>
    <row r="163" spans="5:25">
      <c r="E163" s="848"/>
      <c r="F163" s="848"/>
      <c r="G163" s="848"/>
      <c r="H163" s="848"/>
      <c r="I163" s="848"/>
      <c r="J163" s="848"/>
      <c r="K163" s="848"/>
      <c r="L163" s="848"/>
      <c r="M163" s="848"/>
      <c r="N163" s="848"/>
      <c r="O163" s="848"/>
      <c r="P163" s="848"/>
      <c r="Y163" s="849"/>
    </row>
    <row r="164" spans="5:25">
      <c r="E164" s="848"/>
      <c r="F164" s="848"/>
      <c r="G164" s="848"/>
      <c r="H164" s="848"/>
      <c r="I164" s="848"/>
      <c r="J164" s="848"/>
      <c r="K164" s="848"/>
      <c r="L164" s="848"/>
      <c r="M164" s="848"/>
      <c r="N164" s="848"/>
      <c r="O164" s="848"/>
      <c r="P164" s="848"/>
      <c r="Y164" s="849"/>
    </row>
    <row r="165" spans="5:25">
      <c r="E165" s="848"/>
      <c r="F165" s="848"/>
      <c r="G165" s="848"/>
      <c r="H165" s="848"/>
      <c r="I165" s="848"/>
      <c r="J165" s="848"/>
      <c r="K165" s="848"/>
      <c r="L165" s="848"/>
      <c r="M165" s="848"/>
      <c r="N165" s="848"/>
      <c r="O165" s="848"/>
      <c r="P165" s="848"/>
      <c r="Y165" s="849"/>
    </row>
    <row r="166" spans="5:25">
      <c r="E166" s="848"/>
      <c r="F166" s="848"/>
      <c r="G166" s="848"/>
      <c r="H166" s="848"/>
      <c r="I166" s="848"/>
      <c r="J166" s="848"/>
      <c r="K166" s="848"/>
      <c r="L166" s="848"/>
      <c r="M166" s="848"/>
      <c r="N166" s="848"/>
      <c r="O166" s="848"/>
      <c r="P166" s="848"/>
      <c r="Y166" s="849"/>
    </row>
    <row r="167" spans="5:25">
      <c r="E167" s="848"/>
      <c r="F167" s="848"/>
      <c r="G167" s="848"/>
      <c r="H167" s="848"/>
      <c r="I167" s="848"/>
      <c r="J167" s="848"/>
      <c r="K167" s="848"/>
      <c r="L167" s="848"/>
      <c r="M167" s="848"/>
      <c r="N167" s="848"/>
      <c r="O167" s="848"/>
      <c r="P167" s="848"/>
      <c r="Y167" s="849"/>
    </row>
    <row r="168" spans="5:25">
      <c r="E168" s="848"/>
      <c r="F168" s="848"/>
      <c r="G168" s="848"/>
      <c r="H168" s="848"/>
      <c r="I168" s="848"/>
      <c r="J168" s="848"/>
      <c r="K168" s="848"/>
      <c r="L168" s="848"/>
      <c r="M168" s="848"/>
      <c r="N168" s="848"/>
      <c r="O168" s="848"/>
      <c r="P168" s="848"/>
      <c r="Y168" s="849"/>
    </row>
    <row r="169" spans="5:25">
      <c r="E169" s="848"/>
      <c r="F169" s="848"/>
      <c r="G169" s="848"/>
      <c r="H169" s="848"/>
      <c r="I169" s="848"/>
      <c r="J169" s="848"/>
      <c r="K169" s="848"/>
      <c r="L169" s="848"/>
      <c r="M169" s="848"/>
      <c r="N169" s="848"/>
      <c r="O169" s="848"/>
      <c r="P169" s="848"/>
      <c r="Y169" s="849"/>
    </row>
    <row r="170" spans="5:25">
      <c r="E170" s="848"/>
      <c r="F170" s="848"/>
      <c r="G170" s="848"/>
      <c r="H170" s="848"/>
      <c r="I170" s="848"/>
      <c r="J170" s="848"/>
      <c r="K170" s="848"/>
      <c r="L170" s="848"/>
      <c r="M170" s="848"/>
      <c r="N170" s="848"/>
      <c r="O170" s="848"/>
      <c r="P170" s="848"/>
      <c r="Y170" s="849"/>
    </row>
    <row r="171" spans="5:25">
      <c r="E171" s="848"/>
      <c r="F171" s="848"/>
      <c r="G171" s="848"/>
      <c r="H171" s="848"/>
      <c r="I171" s="848"/>
      <c r="J171" s="848"/>
      <c r="K171" s="848"/>
      <c r="L171" s="848"/>
      <c r="M171" s="848"/>
      <c r="N171" s="848"/>
      <c r="O171" s="848"/>
      <c r="P171" s="848"/>
      <c r="Y171" s="849"/>
    </row>
    <row r="172" spans="5:25">
      <c r="E172" s="848"/>
      <c r="F172" s="848"/>
      <c r="G172" s="848"/>
      <c r="H172" s="848"/>
      <c r="I172" s="848"/>
      <c r="J172" s="848"/>
      <c r="K172" s="848"/>
      <c r="L172" s="848"/>
      <c r="M172" s="848"/>
      <c r="N172" s="848"/>
      <c r="O172" s="848"/>
      <c r="P172" s="848"/>
      <c r="Y172" s="849"/>
    </row>
    <row r="173" spans="5:25">
      <c r="E173" s="848"/>
      <c r="F173" s="848"/>
      <c r="G173" s="848"/>
      <c r="H173" s="848"/>
      <c r="I173" s="848"/>
      <c r="J173" s="848"/>
      <c r="K173" s="848"/>
      <c r="L173" s="848"/>
      <c r="M173" s="848"/>
      <c r="N173" s="848"/>
      <c r="O173" s="848"/>
      <c r="P173" s="848"/>
      <c r="Y173" s="849"/>
    </row>
    <row r="174" spans="5:25">
      <c r="E174" s="848"/>
      <c r="F174" s="848"/>
      <c r="G174" s="848"/>
      <c r="H174" s="848"/>
      <c r="I174" s="848"/>
      <c r="J174" s="848"/>
      <c r="K174" s="848"/>
      <c r="L174" s="848"/>
      <c r="M174" s="848"/>
      <c r="N174" s="848"/>
      <c r="O174" s="848"/>
      <c r="P174" s="848"/>
      <c r="Y174" s="849"/>
    </row>
    <row r="175" spans="5:25">
      <c r="E175" s="848"/>
      <c r="F175" s="848"/>
      <c r="G175" s="848"/>
      <c r="H175" s="848"/>
      <c r="I175" s="848"/>
      <c r="J175" s="848"/>
      <c r="K175" s="848"/>
      <c r="L175" s="848"/>
      <c r="M175" s="848"/>
      <c r="N175" s="848"/>
      <c r="O175" s="848"/>
      <c r="P175" s="848"/>
      <c r="Y175" s="849"/>
    </row>
    <row r="176" spans="5:25">
      <c r="E176" s="848"/>
      <c r="F176" s="848"/>
      <c r="G176" s="848"/>
      <c r="H176" s="848"/>
      <c r="I176" s="848"/>
      <c r="J176" s="848"/>
      <c r="K176" s="848"/>
      <c r="L176" s="848"/>
      <c r="M176" s="848"/>
      <c r="N176" s="848"/>
      <c r="O176" s="848"/>
      <c r="P176" s="848"/>
      <c r="Y176" s="849"/>
    </row>
    <row r="177" spans="5:25">
      <c r="E177" s="848"/>
      <c r="F177" s="848"/>
      <c r="G177" s="848"/>
      <c r="H177" s="848"/>
      <c r="I177" s="848"/>
      <c r="J177" s="848"/>
      <c r="K177" s="848"/>
      <c r="L177" s="848"/>
      <c r="M177" s="848"/>
      <c r="N177" s="848"/>
      <c r="O177" s="848"/>
      <c r="P177" s="848"/>
      <c r="Y177" s="849"/>
    </row>
    <row r="178" spans="5:25">
      <c r="E178" s="848"/>
      <c r="F178" s="848"/>
      <c r="G178" s="848"/>
      <c r="H178" s="848"/>
      <c r="I178" s="848"/>
      <c r="J178" s="848"/>
      <c r="K178" s="848"/>
      <c r="L178" s="848"/>
      <c r="M178" s="848"/>
      <c r="N178" s="848"/>
      <c r="O178" s="848"/>
      <c r="P178" s="848"/>
      <c r="Y178" s="849"/>
    </row>
    <row r="179" spans="5:25">
      <c r="E179" s="848"/>
      <c r="F179" s="848"/>
      <c r="G179" s="848"/>
      <c r="H179" s="848"/>
      <c r="I179" s="848"/>
      <c r="J179" s="848"/>
      <c r="K179" s="848"/>
      <c r="L179" s="848"/>
      <c r="M179" s="848"/>
      <c r="N179" s="848"/>
      <c r="O179" s="848"/>
      <c r="P179" s="848"/>
      <c r="Y179" s="849"/>
    </row>
    <row r="180" spans="5:25">
      <c r="E180" s="848"/>
      <c r="F180" s="848"/>
      <c r="G180" s="848"/>
      <c r="H180" s="848"/>
      <c r="I180" s="848"/>
      <c r="J180" s="848"/>
      <c r="K180" s="848"/>
      <c r="L180" s="848"/>
      <c r="M180" s="848"/>
      <c r="N180" s="848"/>
      <c r="O180" s="848"/>
      <c r="P180" s="848"/>
      <c r="Y180" s="849"/>
    </row>
    <row r="181" spans="5:25">
      <c r="E181" s="848"/>
      <c r="F181" s="848"/>
      <c r="G181" s="848"/>
      <c r="H181" s="848"/>
      <c r="I181" s="848"/>
      <c r="J181" s="848"/>
      <c r="K181" s="848"/>
      <c r="L181" s="848"/>
      <c r="M181" s="848"/>
      <c r="N181" s="848"/>
      <c r="O181" s="848"/>
      <c r="P181" s="848"/>
      <c r="Y181" s="849"/>
    </row>
    <row r="182" spans="5:25">
      <c r="E182" s="848"/>
      <c r="F182" s="848"/>
      <c r="G182" s="848"/>
      <c r="H182" s="848"/>
      <c r="I182" s="848"/>
      <c r="J182" s="848"/>
      <c r="K182" s="848"/>
      <c r="L182" s="848"/>
      <c r="M182" s="848"/>
      <c r="N182" s="848"/>
      <c r="O182" s="848"/>
      <c r="P182" s="848"/>
      <c r="Y182" s="849"/>
    </row>
    <row r="183" spans="5:25">
      <c r="E183" s="848"/>
      <c r="F183" s="848"/>
      <c r="G183" s="848"/>
      <c r="H183" s="848"/>
      <c r="I183" s="848"/>
      <c r="J183" s="848"/>
      <c r="K183" s="848"/>
      <c r="L183" s="848"/>
      <c r="M183" s="848"/>
      <c r="N183" s="848"/>
      <c r="O183" s="848"/>
      <c r="P183" s="848"/>
      <c r="Y183" s="849"/>
    </row>
    <row r="184" spans="5:25">
      <c r="E184" s="848"/>
      <c r="F184" s="848"/>
      <c r="G184" s="848"/>
      <c r="H184" s="848"/>
      <c r="I184" s="848"/>
      <c r="J184" s="848"/>
      <c r="K184" s="848"/>
      <c r="L184" s="848"/>
      <c r="M184" s="848"/>
      <c r="N184" s="848"/>
      <c r="O184" s="848"/>
      <c r="P184" s="848"/>
      <c r="Y184" s="849"/>
    </row>
    <row r="185" spans="5:25">
      <c r="E185" s="848"/>
      <c r="F185" s="848"/>
      <c r="G185" s="848"/>
      <c r="H185" s="848"/>
      <c r="I185" s="848"/>
      <c r="J185" s="848"/>
      <c r="K185" s="848"/>
      <c r="L185" s="848"/>
      <c r="M185" s="848"/>
      <c r="N185" s="848"/>
      <c r="O185" s="848"/>
      <c r="P185" s="848"/>
      <c r="Y185" s="849"/>
    </row>
    <row r="186" spans="5:25">
      <c r="E186" s="848"/>
      <c r="F186" s="848"/>
      <c r="G186" s="848"/>
      <c r="H186" s="848"/>
      <c r="I186" s="848"/>
      <c r="J186" s="848"/>
      <c r="K186" s="848"/>
      <c r="L186" s="848"/>
      <c r="M186" s="848"/>
      <c r="N186" s="848"/>
      <c r="O186" s="848"/>
      <c r="P186" s="848"/>
      <c r="Y186" s="849"/>
    </row>
    <row r="187" spans="5:25">
      <c r="E187" s="848"/>
      <c r="F187" s="848"/>
      <c r="G187" s="848"/>
      <c r="H187" s="848"/>
      <c r="I187" s="848"/>
      <c r="J187" s="848"/>
      <c r="K187" s="848"/>
      <c r="L187" s="848"/>
      <c r="M187" s="848"/>
      <c r="N187" s="848"/>
      <c r="O187" s="848"/>
      <c r="P187" s="848"/>
      <c r="Y187" s="849"/>
    </row>
    <row r="188" spans="5:25">
      <c r="E188" s="848"/>
      <c r="F188" s="848"/>
      <c r="G188" s="848"/>
      <c r="H188" s="848"/>
      <c r="I188" s="848"/>
      <c r="J188" s="848"/>
      <c r="K188" s="848"/>
      <c r="L188" s="848"/>
      <c r="M188" s="848"/>
      <c r="N188" s="848"/>
      <c r="O188" s="848"/>
      <c r="P188" s="848"/>
      <c r="Y188" s="849"/>
    </row>
    <row r="189" spans="5:25">
      <c r="E189" s="848"/>
      <c r="F189" s="848"/>
      <c r="G189" s="848"/>
      <c r="H189" s="848"/>
      <c r="I189" s="848"/>
      <c r="J189" s="848"/>
      <c r="K189" s="848"/>
      <c r="L189" s="848"/>
      <c r="M189" s="848"/>
      <c r="N189" s="848"/>
      <c r="O189" s="848"/>
      <c r="P189" s="848"/>
      <c r="Y189" s="849"/>
    </row>
    <row r="190" spans="5:25">
      <c r="E190" s="848"/>
      <c r="F190" s="848"/>
      <c r="G190" s="848"/>
      <c r="H190" s="848"/>
      <c r="I190" s="848"/>
      <c r="J190" s="848"/>
      <c r="K190" s="848"/>
      <c r="L190" s="848"/>
      <c r="M190" s="848"/>
      <c r="N190" s="848"/>
      <c r="O190" s="848"/>
      <c r="P190" s="848"/>
      <c r="Y190" s="849"/>
    </row>
    <row r="191" spans="5:25">
      <c r="E191" s="848"/>
      <c r="F191" s="848"/>
      <c r="G191" s="848"/>
      <c r="H191" s="848"/>
      <c r="I191" s="848"/>
      <c r="J191" s="848"/>
      <c r="K191" s="848"/>
      <c r="L191" s="848"/>
      <c r="M191" s="848"/>
      <c r="N191" s="848"/>
      <c r="O191" s="848"/>
      <c r="P191" s="848"/>
      <c r="Y191" s="849"/>
    </row>
    <row r="192" spans="5:25">
      <c r="E192" s="848"/>
      <c r="F192" s="848"/>
      <c r="G192" s="848"/>
      <c r="H192" s="848"/>
      <c r="I192" s="848"/>
      <c r="J192" s="848"/>
      <c r="K192" s="848"/>
      <c r="L192" s="848"/>
      <c r="M192" s="848"/>
      <c r="N192" s="848"/>
      <c r="O192" s="848"/>
      <c r="P192" s="848"/>
      <c r="Y192" s="849"/>
    </row>
    <row r="193" spans="5:25">
      <c r="E193" s="848"/>
      <c r="F193" s="848"/>
      <c r="G193" s="848"/>
      <c r="H193" s="848"/>
      <c r="I193" s="848"/>
      <c r="J193" s="848"/>
      <c r="K193" s="848"/>
      <c r="L193" s="848"/>
      <c r="M193" s="848"/>
      <c r="N193" s="848"/>
      <c r="O193" s="848"/>
      <c r="P193" s="848"/>
      <c r="Y193" s="849"/>
    </row>
    <row r="194" spans="5:25">
      <c r="E194" s="848"/>
      <c r="F194" s="848"/>
      <c r="G194" s="848"/>
      <c r="H194" s="848"/>
      <c r="I194" s="848"/>
      <c r="J194" s="848"/>
      <c r="K194" s="848"/>
      <c r="L194" s="848"/>
      <c r="M194" s="848"/>
      <c r="N194" s="848"/>
      <c r="O194" s="848"/>
      <c r="P194" s="848"/>
      <c r="Y194" s="849"/>
    </row>
    <row r="195" spans="5:25">
      <c r="E195" s="848"/>
      <c r="F195" s="848"/>
      <c r="G195" s="848"/>
      <c r="H195" s="848"/>
      <c r="I195" s="848"/>
      <c r="J195" s="848"/>
      <c r="K195" s="848"/>
      <c r="L195" s="848"/>
      <c r="M195" s="848"/>
      <c r="N195" s="848"/>
      <c r="O195" s="848"/>
      <c r="P195" s="848"/>
      <c r="Y195" s="849"/>
    </row>
    <row r="196" spans="5:25">
      <c r="E196" s="848"/>
      <c r="F196" s="848"/>
      <c r="G196" s="848"/>
      <c r="H196" s="848"/>
      <c r="I196" s="848"/>
      <c r="J196" s="848"/>
      <c r="K196" s="848"/>
      <c r="L196" s="848"/>
      <c r="M196" s="848"/>
      <c r="N196" s="848"/>
      <c r="O196" s="848"/>
      <c r="P196" s="848"/>
      <c r="Y196" s="849"/>
    </row>
    <row r="197" spans="5:25">
      <c r="E197" s="848"/>
      <c r="F197" s="848"/>
      <c r="G197" s="848"/>
      <c r="H197" s="848"/>
      <c r="I197" s="848"/>
      <c r="J197" s="848"/>
      <c r="K197" s="848"/>
      <c r="L197" s="848"/>
      <c r="M197" s="848"/>
      <c r="N197" s="848"/>
      <c r="O197" s="848"/>
      <c r="P197" s="848"/>
      <c r="Y197" s="849"/>
    </row>
    <row r="198" spans="5:25">
      <c r="E198" s="848"/>
      <c r="F198" s="848"/>
      <c r="G198" s="848"/>
      <c r="H198" s="848"/>
      <c r="I198" s="848"/>
      <c r="J198" s="848"/>
      <c r="K198" s="848"/>
      <c r="L198" s="848"/>
      <c r="M198" s="848"/>
      <c r="N198" s="848"/>
      <c r="O198" s="848"/>
      <c r="P198" s="848"/>
      <c r="Y198" s="849"/>
    </row>
    <row r="199" spans="5:25">
      <c r="E199" s="848"/>
      <c r="F199" s="848"/>
      <c r="G199" s="848"/>
      <c r="H199" s="848"/>
      <c r="I199" s="848"/>
      <c r="J199" s="848"/>
      <c r="K199" s="848"/>
      <c r="L199" s="848"/>
      <c r="M199" s="848"/>
      <c r="N199" s="848"/>
      <c r="O199" s="848"/>
      <c r="P199" s="848"/>
      <c r="Y199" s="849"/>
    </row>
    <row r="200" spans="5:25">
      <c r="E200" s="848"/>
      <c r="F200" s="848"/>
      <c r="G200" s="848"/>
      <c r="H200" s="848"/>
      <c r="I200" s="848"/>
      <c r="J200" s="848"/>
      <c r="K200" s="848"/>
      <c r="L200" s="848"/>
      <c r="M200" s="848"/>
      <c r="N200" s="848"/>
      <c r="O200" s="848"/>
      <c r="P200" s="848"/>
      <c r="Y200" s="849"/>
    </row>
    <row r="201" spans="5:25">
      <c r="E201" s="848"/>
      <c r="F201" s="848"/>
      <c r="G201" s="848"/>
      <c r="H201" s="848"/>
      <c r="I201" s="848"/>
      <c r="J201" s="848"/>
      <c r="K201" s="848"/>
      <c r="L201" s="848"/>
      <c r="M201" s="848"/>
      <c r="N201" s="848"/>
      <c r="O201" s="848"/>
      <c r="P201" s="848"/>
      <c r="Y201" s="849"/>
    </row>
    <row r="202" spans="5:25">
      <c r="E202" s="848"/>
      <c r="F202" s="848"/>
      <c r="G202" s="848"/>
      <c r="H202" s="848"/>
      <c r="I202" s="848"/>
      <c r="J202" s="848"/>
      <c r="K202" s="848"/>
      <c r="L202" s="848"/>
      <c r="M202" s="848"/>
      <c r="N202" s="848"/>
      <c r="O202" s="848"/>
      <c r="P202" s="848"/>
      <c r="Y202" s="849"/>
    </row>
    <row r="203" spans="5:25">
      <c r="E203" s="848"/>
      <c r="F203" s="848"/>
      <c r="G203" s="848"/>
      <c r="H203" s="848"/>
      <c r="I203" s="848"/>
      <c r="J203" s="848"/>
      <c r="K203" s="848"/>
      <c r="L203" s="848"/>
      <c r="M203" s="848"/>
      <c r="N203" s="848"/>
      <c r="O203" s="848"/>
      <c r="P203" s="848"/>
      <c r="Y203" s="849"/>
    </row>
    <row r="204" spans="5:25">
      <c r="E204" s="848"/>
      <c r="F204" s="848"/>
      <c r="G204" s="848"/>
      <c r="H204" s="848"/>
      <c r="I204" s="848"/>
      <c r="J204" s="848"/>
      <c r="K204" s="848"/>
      <c r="L204" s="848"/>
      <c r="M204" s="848"/>
      <c r="N204" s="848"/>
      <c r="O204" s="848"/>
      <c r="P204" s="848"/>
      <c r="Y204" s="849"/>
    </row>
    <row r="205" spans="5:25">
      <c r="E205" s="848"/>
      <c r="F205" s="848"/>
      <c r="G205" s="848"/>
      <c r="H205" s="848"/>
      <c r="I205" s="848"/>
      <c r="J205" s="848"/>
      <c r="K205" s="848"/>
      <c r="L205" s="848"/>
      <c r="M205" s="848"/>
      <c r="N205" s="848"/>
      <c r="O205" s="848"/>
      <c r="P205" s="848"/>
      <c r="Y205" s="849"/>
    </row>
    <row r="206" spans="5:25">
      <c r="E206" s="848"/>
      <c r="F206" s="848"/>
      <c r="G206" s="848"/>
      <c r="H206" s="848"/>
      <c r="I206" s="848"/>
      <c r="J206" s="848"/>
      <c r="K206" s="848"/>
      <c r="L206" s="848"/>
      <c r="M206" s="848"/>
      <c r="N206" s="848"/>
      <c r="O206" s="848"/>
      <c r="P206" s="848"/>
      <c r="Y206" s="849"/>
    </row>
    <row r="207" spans="5:25">
      <c r="E207" s="848"/>
      <c r="F207" s="848"/>
      <c r="G207" s="848"/>
      <c r="H207" s="848"/>
      <c r="I207" s="848"/>
      <c r="J207" s="848"/>
      <c r="K207" s="848"/>
      <c r="L207" s="848"/>
      <c r="M207" s="848"/>
      <c r="N207" s="848"/>
      <c r="O207" s="848"/>
      <c r="P207" s="848"/>
      <c r="Y207" s="849"/>
    </row>
    <row r="208" spans="5:25">
      <c r="E208" s="848"/>
      <c r="F208" s="848"/>
      <c r="G208" s="848"/>
      <c r="H208" s="848"/>
      <c r="I208" s="848"/>
      <c r="J208" s="848"/>
      <c r="K208" s="848"/>
      <c r="L208" s="848"/>
      <c r="M208" s="848"/>
      <c r="N208" s="848"/>
      <c r="O208" s="848"/>
      <c r="P208" s="848"/>
      <c r="Y208" s="849"/>
    </row>
    <row r="209" spans="5:25">
      <c r="E209" s="848"/>
      <c r="F209" s="848"/>
      <c r="G209" s="848"/>
      <c r="H209" s="848"/>
      <c r="I209" s="848"/>
      <c r="J209" s="848"/>
      <c r="K209" s="848"/>
      <c r="L209" s="848"/>
      <c r="M209" s="848"/>
      <c r="N209" s="848"/>
      <c r="O209" s="848"/>
      <c r="P209" s="848"/>
      <c r="Y209" s="849"/>
    </row>
    <row r="210" spans="5:25">
      <c r="E210" s="848"/>
      <c r="F210" s="848"/>
      <c r="G210" s="848"/>
      <c r="H210" s="848"/>
      <c r="I210" s="848"/>
      <c r="J210" s="848"/>
      <c r="K210" s="848"/>
      <c r="L210" s="848"/>
      <c r="M210" s="848"/>
      <c r="N210" s="848"/>
      <c r="O210" s="848"/>
      <c r="P210" s="848"/>
      <c r="Y210" s="849"/>
    </row>
    <row r="211" spans="5:25">
      <c r="E211" s="848"/>
      <c r="F211" s="848"/>
      <c r="G211" s="848"/>
      <c r="H211" s="848"/>
      <c r="I211" s="848"/>
      <c r="J211" s="848"/>
      <c r="K211" s="848"/>
      <c r="L211" s="848"/>
      <c r="M211" s="848"/>
      <c r="N211" s="848"/>
      <c r="O211" s="848"/>
      <c r="P211" s="848"/>
      <c r="Y211" s="849"/>
    </row>
    <row r="212" spans="5:25">
      <c r="E212" s="848"/>
      <c r="F212" s="848"/>
      <c r="G212" s="848"/>
      <c r="H212" s="848"/>
      <c r="I212" s="848"/>
      <c r="J212" s="848"/>
      <c r="K212" s="848"/>
      <c r="L212" s="848"/>
      <c r="M212" s="848"/>
      <c r="N212" s="848"/>
      <c r="O212" s="848"/>
      <c r="P212" s="848"/>
      <c r="Y212" s="849"/>
    </row>
    <row r="213" spans="5:25">
      <c r="E213" s="848"/>
      <c r="F213" s="848"/>
      <c r="G213" s="848"/>
      <c r="H213" s="848"/>
      <c r="I213" s="848"/>
      <c r="J213" s="848"/>
      <c r="K213" s="848"/>
      <c r="L213" s="848"/>
      <c r="M213" s="848"/>
      <c r="N213" s="848"/>
      <c r="O213" s="848"/>
      <c r="P213" s="848"/>
      <c r="Y213" s="849"/>
    </row>
    <row r="214" spans="5:25">
      <c r="E214" s="848"/>
      <c r="F214" s="848"/>
      <c r="G214" s="848"/>
      <c r="H214" s="848"/>
      <c r="I214" s="848"/>
      <c r="J214" s="848"/>
      <c r="K214" s="848"/>
      <c r="L214" s="848"/>
      <c r="M214" s="848"/>
      <c r="N214" s="848"/>
      <c r="O214" s="848"/>
      <c r="P214" s="848"/>
      <c r="Y214" s="849"/>
    </row>
    <row r="215" spans="5:25">
      <c r="E215" s="848"/>
      <c r="F215" s="848"/>
      <c r="G215" s="848"/>
      <c r="H215" s="848"/>
      <c r="I215" s="848"/>
      <c r="J215" s="848"/>
      <c r="K215" s="848"/>
      <c r="L215" s="848"/>
      <c r="M215" s="848"/>
      <c r="N215" s="848"/>
      <c r="O215" s="848"/>
      <c r="P215" s="848"/>
      <c r="Y215" s="849"/>
    </row>
    <row r="216" spans="5:25">
      <c r="E216" s="848"/>
      <c r="F216" s="848"/>
      <c r="G216" s="848"/>
      <c r="H216" s="848"/>
      <c r="I216" s="848"/>
      <c r="J216" s="848"/>
      <c r="K216" s="848"/>
      <c r="L216" s="848"/>
      <c r="M216" s="848"/>
      <c r="N216" s="848"/>
      <c r="O216" s="848"/>
      <c r="P216" s="848"/>
      <c r="Y216" s="849"/>
    </row>
    <row r="217" spans="5:25">
      <c r="E217" s="848"/>
      <c r="F217" s="848"/>
      <c r="G217" s="848"/>
      <c r="H217" s="848"/>
      <c r="I217" s="848"/>
      <c r="J217" s="848"/>
      <c r="K217" s="848"/>
      <c r="L217" s="848"/>
      <c r="M217" s="848"/>
      <c r="N217" s="848"/>
      <c r="O217" s="848"/>
      <c r="P217" s="848"/>
      <c r="Y217" s="849"/>
    </row>
    <row r="218" spans="5:25">
      <c r="E218" s="848"/>
      <c r="F218" s="848"/>
      <c r="G218" s="848"/>
      <c r="H218" s="848"/>
      <c r="I218" s="848"/>
      <c r="J218" s="848"/>
      <c r="K218" s="848"/>
      <c r="L218" s="848"/>
      <c r="M218" s="848"/>
      <c r="N218" s="848"/>
      <c r="O218" s="848"/>
      <c r="P218" s="848"/>
      <c r="Y218" s="849"/>
    </row>
    <row r="219" spans="5:25">
      <c r="E219" s="848"/>
      <c r="F219" s="848"/>
      <c r="G219" s="848"/>
      <c r="H219" s="848"/>
      <c r="I219" s="848"/>
      <c r="J219" s="848"/>
      <c r="K219" s="848"/>
      <c r="L219" s="848"/>
      <c r="M219" s="848"/>
      <c r="N219" s="848"/>
      <c r="O219" s="848"/>
      <c r="P219" s="848"/>
      <c r="Y219" s="849"/>
    </row>
    <row r="220" spans="5:25">
      <c r="E220" s="848"/>
      <c r="F220" s="848"/>
      <c r="G220" s="848"/>
      <c r="H220" s="848"/>
      <c r="I220" s="848"/>
      <c r="J220" s="848"/>
      <c r="K220" s="848"/>
      <c r="L220" s="848"/>
      <c r="M220" s="848"/>
      <c r="N220" s="848"/>
      <c r="O220" s="848"/>
      <c r="P220" s="848"/>
      <c r="Y220" s="849"/>
    </row>
    <row r="221" spans="5:25">
      <c r="E221" s="848"/>
      <c r="F221" s="848"/>
      <c r="G221" s="848"/>
      <c r="H221" s="848"/>
      <c r="I221" s="848"/>
      <c r="J221" s="848"/>
      <c r="K221" s="848"/>
      <c r="L221" s="848"/>
      <c r="M221" s="848"/>
      <c r="N221" s="848"/>
      <c r="O221" s="848"/>
      <c r="P221" s="848"/>
      <c r="Y221" s="849"/>
    </row>
    <row r="222" spans="5:25">
      <c r="E222" s="848"/>
      <c r="F222" s="848"/>
      <c r="G222" s="848"/>
      <c r="H222" s="848"/>
      <c r="I222" s="848"/>
      <c r="J222" s="848"/>
      <c r="K222" s="848"/>
      <c r="L222" s="848"/>
      <c r="M222" s="848"/>
      <c r="N222" s="848"/>
      <c r="O222" s="848"/>
      <c r="P222" s="848"/>
      <c r="Y222" s="849"/>
    </row>
    <row r="223" spans="5:25">
      <c r="E223" s="848"/>
      <c r="F223" s="848"/>
      <c r="G223" s="848"/>
      <c r="H223" s="848"/>
      <c r="I223" s="848"/>
      <c r="J223" s="848"/>
      <c r="K223" s="848"/>
      <c r="L223" s="848"/>
      <c r="M223" s="848"/>
      <c r="N223" s="848"/>
      <c r="O223" s="848"/>
      <c r="P223" s="848"/>
      <c r="Y223" s="849"/>
    </row>
    <row r="224" spans="5:25">
      <c r="E224" s="848"/>
      <c r="F224" s="848"/>
      <c r="G224" s="848"/>
      <c r="H224" s="848"/>
      <c r="I224" s="848"/>
      <c r="J224" s="848"/>
      <c r="K224" s="848"/>
      <c r="L224" s="848"/>
      <c r="M224" s="848"/>
      <c r="N224" s="848"/>
      <c r="O224" s="848"/>
      <c r="P224" s="848"/>
      <c r="Y224" s="849"/>
    </row>
    <row r="225" spans="5:25">
      <c r="E225" s="848"/>
      <c r="F225" s="848"/>
      <c r="G225" s="848"/>
      <c r="H225" s="848"/>
      <c r="I225" s="848"/>
      <c r="J225" s="848"/>
      <c r="K225" s="848"/>
      <c r="L225" s="848"/>
      <c r="M225" s="848"/>
      <c r="N225" s="848"/>
      <c r="O225" s="848"/>
      <c r="P225" s="848"/>
      <c r="Y225" s="849"/>
    </row>
    <row r="226" spans="5:25">
      <c r="E226" s="848"/>
      <c r="F226" s="848"/>
      <c r="G226" s="848"/>
      <c r="H226" s="848"/>
      <c r="I226" s="848"/>
      <c r="J226" s="848"/>
      <c r="K226" s="848"/>
      <c r="L226" s="848"/>
      <c r="M226" s="848"/>
      <c r="N226" s="848"/>
      <c r="O226" s="848"/>
      <c r="P226" s="848"/>
      <c r="Y226" s="849"/>
    </row>
    <row r="227" spans="5:25">
      <c r="E227" s="848"/>
      <c r="F227" s="848"/>
      <c r="G227" s="848"/>
      <c r="H227" s="848"/>
      <c r="I227" s="848"/>
      <c r="J227" s="848"/>
      <c r="K227" s="848"/>
      <c r="L227" s="848"/>
      <c r="M227" s="848"/>
      <c r="N227" s="848"/>
      <c r="O227" s="848"/>
      <c r="P227" s="848"/>
      <c r="Y227" s="849"/>
    </row>
    <row r="228" spans="5:25">
      <c r="E228" s="848"/>
      <c r="F228" s="848"/>
      <c r="G228" s="848"/>
      <c r="H228" s="848"/>
      <c r="I228" s="848"/>
      <c r="J228" s="848"/>
      <c r="K228" s="848"/>
      <c r="L228" s="848"/>
      <c r="M228" s="848"/>
      <c r="N228" s="848"/>
      <c r="O228" s="848"/>
      <c r="P228" s="848"/>
      <c r="Y228" s="849"/>
    </row>
    <row r="229" spans="5:25">
      <c r="E229" s="848"/>
      <c r="F229" s="848"/>
      <c r="G229" s="848"/>
      <c r="H229" s="848"/>
      <c r="I229" s="848"/>
      <c r="J229" s="848"/>
      <c r="K229" s="848"/>
      <c r="L229" s="848"/>
      <c r="M229" s="848"/>
      <c r="N229" s="848"/>
      <c r="O229" s="848"/>
      <c r="P229" s="848"/>
      <c r="Y229" s="849"/>
    </row>
    <row r="230" spans="5:25">
      <c r="E230" s="848"/>
      <c r="F230" s="848"/>
      <c r="G230" s="848"/>
      <c r="H230" s="848"/>
      <c r="I230" s="848"/>
      <c r="J230" s="848"/>
      <c r="K230" s="848"/>
      <c r="L230" s="848"/>
      <c r="M230" s="848"/>
      <c r="N230" s="848"/>
      <c r="O230" s="848"/>
      <c r="P230" s="848"/>
      <c r="Y230" s="849"/>
    </row>
    <row r="231" spans="5:25">
      <c r="E231" s="848"/>
      <c r="F231" s="848"/>
      <c r="G231" s="848"/>
      <c r="H231" s="848"/>
      <c r="I231" s="848"/>
      <c r="J231" s="848"/>
      <c r="K231" s="848"/>
      <c r="L231" s="848"/>
      <c r="M231" s="848"/>
      <c r="N231" s="848"/>
      <c r="O231" s="848"/>
      <c r="P231" s="848"/>
      <c r="Y231" s="849"/>
    </row>
    <row r="232" spans="5:25">
      <c r="E232" s="848"/>
      <c r="F232" s="848"/>
      <c r="G232" s="848"/>
      <c r="H232" s="848"/>
      <c r="I232" s="848"/>
      <c r="J232" s="848"/>
      <c r="K232" s="848"/>
      <c r="L232" s="848"/>
      <c r="M232" s="848"/>
      <c r="N232" s="848"/>
      <c r="O232" s="848"/>
      <c r="P232" s="848"/>
      <c r="Y232" s="849"/>
    </row>
    <row r="233" spans="5:25">
      <c r="E233" s="848"/>
      <c r="F233" s="848"/>
      <c r="G233" s="848"/>
      <c r="H233" s="848"/>
      <c r="I233" s="848"/>
      <c r="J233" s="848"/>
      <c r="K233" s="848"/>
      <c r="L233" s="848"/>
      <c r="M233" s="848"/>
      <c r="N233" s="848"/>
      <c r="O233" s="848"/>
      <c r="P233" s="848"/>
      <c r="Y233" s="849"/>
    </row>
    <row r="234" spans="5:25">
      <c r="E234" s="848"/>
      <c r="F234" s="848"/>
      <c r="G234" s="848"/>
      <c r="H234" s="848"/>
      <c r="I234" s="848"/>
      <c r="J234" s="848"/>
      <c r="K234" s="848"/>
      <c r="L234" s="848"/>
      <c r="M234" s="848"/>
      <c r="N234" s="848"/>
      <c r="O234" s="848"/>
      <c r="P234" s="848"/>
      <c r="Y234" s="849"/>
    </row>
    <row r="235" spans="5:25">
      <c r="E235" s="848"/>
      <c r="F235" s="848"/>
      <c r="G235" s="848"/>
      <c r="H235" s="848"/>
      <c r="I235" s="848"/>
      <c r="J235" s="848"/>
      <c r="K235" s="848"/>
      <c r="L235" s="848"/>
      <c r="M235" s="848"/>
      <c r="N235" s="848"/>
      <c r="O235" s="848"/>
      <c r="P235" s="848"/>
      <c r="Y235" s="849"/>
    </row>
    <row r="236" spans="5:25">
      <c r="E236" s="848"/>
      <c r="F236" s="848"/>
      <c r="G236" s="848"/>
      <c r="H236" s="848"/>
      <c r="I236" s="848"/>
      <c r="J236" s="848"/>
      <c r="K236" s="848"/>
      <c r="L236" s="848"/>
      <c r="M236" s="848"/>
      <c r="N236" s="848"/>
      <c r="O236" s="848"/>
      <c r="P236" s="848"/>
      <c r="Y236" s="849"/>
    </row>
    <row r="237" spans="5:25">
      <c r="E237" s="848"/>
      <c r="F237" s="848"/>
      <c r="G237" s="848"/>
      <c r="H237" s="848"/>
      <c r="I237" s="848"/>
      <c r="J237" s="848"/>
      <c r="K237" s="848"/>
      <c r="L237" s="848"/>
      <c r="M237" s="848"/>
      <c r="N237" s="848"/>
      <c r="O237" s="848"/>
      <c r="P237" s="848"/>
      <c r="Y237" s="849"/>
    </row>
    <row r="238" spans="5:25">
      <c r="E238" s="848"/>
      <c r="F238" s="848"/>
      <c r="G238" s="848"/>
      <c r="H238" s="848"/>
      <c r="I238" s="848"/>
      <c r="J238" s="848"/>
      <c r="K238" s="848"/>
      <c r="L238" s="848"/>
      <c r="M238" s="848"/>
      <c r="N238" s="848"/>
      <c r="O238" s="848"/>
      <c r="P238" s="848"/>
      <c r="Y238" s="849"/>
    </row>
    <row r="239" spans="5:25">
      <c r="E239" s="848"/>
      <c r="F239" s="848"/>
      <c r="G239" s="848"/>
      <c r="H239" s="848"/>
      <c r="I239" s="848"/>
      <c r="J239" s="848"/>
      <c r="K239" s="848"/>
      <c r="L239" s="848"/>
      <c r="M239" s="848"/>
      <c r="N239" s="848"/>
      <c r="O239" s="848"/>
      <c r="P239" s="848"/>
      <c r="Y239" s="849"/>
    </row>
    <row r="240" spans="5:25">
      <c r="E240" s="848"/>
      <c r="F240" s="848"/>
      <c r="G240" s="848"/>
      <c r="H240" s="848"/>
      <c r="I240" s="848"/>
      <c r="J240" s="848"/>
      <c r="K240" s="848"/>
      <c r="L240" s="848"/>
      <c r="M240" s="848"/>
      <c r="N240" s="848"/>
      <c r="O240" s="848"/>
      <c r="P240" s="848"/>
      <c r="Y240" s="849"/>
    </row>
    <row r="241" spans="5:25">
      <c r="E241" s="848"/>
      <c r="F241" s="848"/>
      <c r="G241" s="848"/>
      <c r="H241" s="848"/>
      <c r="I241" s="848"/>
      <c r="J241" s="848"/>
      <c r="K241" s="848"/>
      <c r="L241" s="848"/>
      <c r="M241" s="848"/>
      <c r="N241" s="848"/>
      <c r="O241" s="848"/>
      <c r="P241" s="848"/>
      <c r="Y241" s="849"/>
    </row>
    <row r="242" spans="5:25">
      <c r="E242" s="848"/>
      <c r="F242" s="848"/>
      <c r="G242" s="848"/>
      <c r="H242" s="848"/>
      <c r="I242" s="848"/>
      <c r="J242" s="848"/>
      <c r="K242" s="848"/>
      <c r="L242" s="848"/>
      <c r="M242" s="848"/>
      <c r="N242" s="848"/>
      <c r="O242" s="848"/>
      <c r="P242" s="848"/>
      <c r="Y242" s="849"/>
    </row>
    <row r="243" spans="5:25">
      <c r="E243" s="848"/>
      <c r="F243" s="848"/>
      <c r="G243" s="848"/>
      <c r="H243" s="848"/>
      <c r="I243" s="848"/>
      <c r="J243" s="848"/>
      <c r="K243" s="848"/>
      <c r="L243" s="848"/>
      <c r="M243" s="848"/>
      <c r="N243" s="848"/>
      <c r="O243" s="848"/>
      <c r="P243" s="848"/>
      <c r="Y243" s="849"/>
    </row>
    <row r="244" spans="5:25">
      <c r="E244" s="848"/>
      <c r="F244" s="848"/>
      <c r="G244" s="848"/>
      <c r="H244" s="848"/>
      <c r="I244" s="848"/>
      <c r="J244" s="848"/>
      <c r="K244" s="848"/>
      <c r="L244" s="848"/>
      <c r="M244" s="848"/>
      <c r="N244" s="848"/>
      <c r="O244" s="848"/>
      <c r="P244" s="848"/>
      <c r="Y244" s="849"/>
    </row>
    <row r="245" spans="5:25">
      <c r="E245" s="848"/>
      <c r="F245" s="848"/>
      <c r="G245" s="848"/>
      <c r="H245" s="848"/>
      <c r="I245" s="848"/>
      <c r="J245" s="848"/>
      <c r="K245" s="848"/>
      <c r="L245" s="848"/>
      <c r="M245" s="848"/>
      <c r="N245" s="848"/>
      <c r="O245" s="848"/>
      <c r="P245" s="848"/>
      <c r="Y245" s="849"/>
    </row>
    <row r="246" spans="5:25">
      <c r="E246" s="848"/>
      <c r="F246" s="848"/>
      <c r="G246" s="848"/>
      <c r="H246" s="848"/>
      <c r="I246" s="848"/>
      <c r="J246" s="848"/>
      <c r="K246" s="848"/>
      <c r="L246" s="848"/>
      <c r="M246" s="848"/>
      <c r="N246" s="848"/>
      <c r="O246" s="848"/>
      <c r="P246" s="848"/>
      <c r="Y246" s="849"/>
    </row>
    <row r="247" spans="5:25">
      <c r="E247" s="848"/>
      <c r="F247" s="848"/>
      <c r="G247" s="848"/>
      <c r="H247" s="848"/>
      <c r="I247" s="848"/>
      <c r="J247" s="848"/>
      <c r="K247" s="848"/>
      <c r="L247" s="848"/>
      <c r="M247" s="848"/>
      <c r="N247" s="848"/>
      <c r="O247" s="848"/>
      <c r="P247" s="848"/>
      <c r="Y247" s="849"/>
    </row>
    <row r="248" spans="5:25">
      <c r="E248" s="848"/>
      <c r="F248" s="848"/>
      <c r="G248" s="848"/>
      <c r="H248" s="848"/>
      <c r="I248" s="848"/>
      <c r="J248" s="848"/>
      <c r="K248" s="848"/>
      <c r="L248" s="848"/>
      <c r="M248" s="848"/>
      <c r="N248" s="848"/>
      <c r="O248" s="848"/>
      <c r="P248" s="848"/>
      <c r="Y248" s="849"/>
    </row>
    <row r="249" spans="5:25">
      <c r="E249" s="848"/>
      <c r="F249" s="848"/>
      <c r="G249" s="848"/>
      <c r="H249" s="848"/>
      <c r="I249" s="848"/>
      <c r="J249" s="848"/>
      <c r="K249" s="848"/>
      <c r="L249" s="848"/>
      <c r="M249" s="848"/>
      <c r="N249" s="848"/>
      <c r="O249" s="848"/>
      <c r="P249" s="848"/>
      <c r="Y249" s="849"/>
    </row>
    <row r="250" spans="5:25">
      <c r="E250" s="848"/>
      <c r="F250" s="848"/>
      <c r="G250" s="848"/>
      <c r="H250" s="848"/>
      <c r="I250" s="848"/>
      <c r="J250" s="848"/>
      <c r="K250" s="848"/>
      <c r="L250" s="848"/>
      <c r="M250" s="848"/>
      <c r="N250" s="848"/>
      <c r="O250" s="848"/>
      <c r="P250" s="848"/>
      <c r="Y250" s="849"/>
    </row>
    <row r="251" spans="5:25">
      <c r="E251" s="848"/>
      <c r="F251" s="848"/>
      <c r="G251" s="848"/>
      <c r="H251" s="848"/>
      <c r="I251" s="848"/>
      <c r="J251" s="848"/>
      <c r="K251" s="848"/>
      <c r="L251" s="848"/>
      <c r="M251" s="848"/>
      <c r="N251" s="848"/>
      <c r="O251" s="848"/>
      <c r="P251" s="848"/>
      <c r="Y251" s="849"/>
    </row>
    <row r="252" spans="5:25">
      <c r="E252" s="848"/>
      <c r="F252" s="848"/>
      <c r="G252" s="848"/>
      <c r="H252" s="848"/>
      <c r="I252" s="848"/>
      <c r="J252" s="848"/>
      <c r="K252" s="848"/>
      <c r="L252" s="848"/>
      <c r="M252" s="848"/>
      <c r="N252" s="848"/>
      <c r="O252" s="848"/>
      <c r="P252" s="848"/>
      <c r="Y252" s="849"/>
    </row>
    <row r="253" spans="5:25">
      <c r="E253" s="848"/>
      <c r="F253" s="848"/>
      <c r="G253" s="848"/>
      <c r="H253" s="848"/>
      <c r="I253" s="848"/>
      <c r="J253" s="848"/>
      <c r="K253" s="848"/>
      <c r="L253" s="848"/>
      <c r="M253" s="848"/>
      <c r="N253" s="848"/>
      <c r="O253" s="848"/>
      <c r="P253" s="848"/>
      <c r="Y253" s="849"/>
    </row>
    <row r="254" spans="5:25">
      <c r="E254" s="848"/>
      <c r="F254" s="848"/>
      <c r="G254" s="848"/>
      <c r="H254" s="848"/>
      <c r="I254" s="848"/>
      <c r="J254" s="848"/>
      <c r="K254" s="848"/>
      <c r="L254" s="848"/>
      <c r="M254" s="848"/>
      <c r="N254" s="848"/>
      <c r="O254" s="848"/>
      <c r="P254" s="848"/>
      <c r="Y254" s="849"/>
    </row>
    <row r="255" spans="5:25">
      <c r="E255" s="848"/>
      <c r="F255" s="848"/>
      <c r="G255" s="848"/>
      <c r="H255" s="848"/>
      <c r="I255" s="848"/>
      <c r="J255" s="848"/>
      <c r="K255" s="848"/>
      <c r="L255" s="848"/>
      <c r="M255" s="848"/>
      <c r="N255" s="848"/>
      <c r="O255" s="848"/>
      <c r="P255" s="848"/>
      <c r="Y255" s="849"/>
    </row>
    <row r="256" spans="5:25">
      <c r="E256" s="848"/>
      <c r="F256" s="848"/>
      <c r="G256" s="848"/>
      <c r="H256" s="848"/>
      <c r="I256" s="848"/>
      <c r="J256" s="848"/>
      <c r="K256" s="848"/>
      <c r="L256" s="848"/>
      <c r="M256" s="848"/>
      <c r="N256" s="848"/>
      <c r="O256" s="848"/>
      <c r="P256" s="848"/>
      <c r="Y256" s="849"/>
    </row>
    <row r="257" spans="5:25">
      <c r="E257" s="848"/>
      <c r="F257" s="848"/>
      <c r="G257" s="848"/>
      <c r="H257" s="848"/>
      <c r="I257" s="848"/>
      <c r="J257" s="848"/>
      <c r="K257" s="848"/>
      <c r="L257" s="848"/>
      <c r="M257" s="848"/>
      <c r="N257" s="848"/>
      <c r="O257" s="848"/>
      <c r="P257" s="848"/>
      <c r="Y257" s="849"/>
    </row>
    <row r="258" spans="5:25">
      <c r="E258" s="848"/>
      <c r="F258" s="848"/>
      <c r="G258" s="848"/>
      <c r="H258" s="848"/>
      <c r="I258" s="848"/>
      <c r="J258" s="848"/>
      <c r="K258" s="848"/>
      <c r="L258" s="848"/>
      <c r="M258" s="848"/>
      <c r="N258" s="848"/>
      <c r="O258" s="848"/>
      <c r="P258" s="848"/>
      <c r="Y258" s="849"/>
    </row>
    <row r="259" spans="5:25">
      <c r="E259" s="848"/>
      <c r="F259" s="848"/>
      <c r="G259" s="848"/>
      <c r="H259" s="848"/>
      <c r="I259" s="848"/>
      <c r="J259" s="848"/>
      <c r="K259" s="848"/>
      <c r="L259" s="848"/>
      <c r="M259" s="848"/>
      <c r="N259" s="848"/>
      <c r="O259" s="848"/>
      <c r="P259" s="848"/>
      <c r="Y259" s="849"/>
    </row>
    <row r="260" spans="5:25">
      <c r="E260" s="848"/>
      <c r="F260" s="848"/>
      <c r="G260" s="848"/>
      <c r="H260" s="848"/>
      <c r="I260" s="848"/>
      <c r="J260" s="848"/>
      <c r="K260" s="848"/>
      <c r="L260" s="848"/>
      <c r="M260" s="848"/>
      <c r="N260" s="848"/>
      <c r="O260" s="848"/>
      <c r="P260" s="848"/>
      <c r="Y260" s="849"/>
    </row>
    <row r="261" spans="5:25">
      <c r="E261" s="848"/>
      <c r="F261" s="848"/>
      <c r="G261" s="848"/>
      <c r="H261" s="848"/>
      <c r="I261" s="848"/>
      <c r="J261" s="848"/>
      <c r="K261" s="848"/>
      <c r="L261" s="848"/>
      <c r="M261" s="848"/>
      <c r="N261" s="848"/>
      <c r="O261" s="848"/>
      <c r="P261" s="848"/>
      <c r="Y261" s="849"/>
    </row>
    <row r="262" spans="5:25">
      <c r="E262" s="848"/>
      <c r="F262" s="848"/>
      <c r="G262" s="848"/>
      <c r="H262" s="848"/>
      <c r="I262" s="848"/>
      <c r="J262" s="848"/>
      <c r="K262" s="848"/>
      <c r="L262" s="848"/>
      <c r="M262" s="848"/>
      <c r="N262" s="848"/>
      <c r="O262" s="848"/>
      <c r="P262" s="848"/>
      <c r="Y262" s="849"/>
    </row>
    <row r="263" spans="5:25">
      <c r="E263" s="848"/>
      <c r="F263" s="848"/>
      <c r="G263" s="848"/>
      <c r="H263" s="848"/>
      <c r="I263" s="848"/>
      <c r="J263" s="848"/>
      <c r="K263" s="848"/>
      <c r="L263" s="848"/>
      <c r="M263" s="848"/>
      <c r="N263" s="848"/>
      <c r="O263" s="848"/>
      <c r="P263" s="848"/>
      <c r="Y263" s="849"/>
    </row>
    <row r="264" spans="5:25">
      <c r="E264" s="848"/>
      <c r="F264" s="848"/>
      <c r="G264" s="848"/>
      <c r="H264" s="848"/>
      <c r="I264" s="848"/>
      <c r="J264" s="848"/>
      <c r="K264" s="848"/>
      <c r="L264" s="848"/>
      <c r="M264" s="848"/>
      <c r="N264" s="848"/>
      <c r="O264" s="848"/>
      <c r="P264" s="848"/>
      <c r="Y264" s="849"/>
    </row>
    <row r="265" spans="5:25">
      <c r="E265" s="848"/>
      <c r="F265" s="848"/>
      <c r="G265" s="848"/>
      <c r="H265" s="848"/>
      <c r="I265" s="848"/>
      <c r="J265" s="848"/>
      <c r="K265" s="848"/>
      <c r="L265" s="848"/>
      <c r="M265" s="848"/>
      <c r="N265" s="848"/>
      <c r="O265" s="848"/>
      <c r="P265" s="848"/>
      <c r="Y265" s="849"/>
    </row>
    <row r="266" spans="5:25">
      <c r="E266" s="848"/>
      <c r="F266" s="848"/>
      <c r="G266" s="848"/>
      <c r="H266" s="848"/>
      <c r="I266" s="848"/>
      <c r="J266" s="848"/>
      <c r="K266" s="848"/>
      <c r="L266" s="848"/>
      <c r="M266" s="848"/>
      <c r="N266" s="848"/>
      <c r="O266" s="848"/>
      <c r="P266" s="848"/>
      <c r="Y266" s="849"/>
    </row>
    <row r="267" spans="5:25">
      <c r="E267" s="848"/>
      <c r="F267" s="848"/>
      <c r="G267" s="848"/>
      <c r="H267" s="848"/>
      <c r="I267" s="848"/>
      <c r="J267" s="848"/>
      <c r="K267" s="848"/>
      <c r="L267" s="848"/>
      <c r="M267" s="848"/>
      <c r="N267" s="848"/>
      <c r="O267" s="848"/>
      <c r="P267" s="848"/>
      <c r="Y267" s="849"/>
    </row>
    <row r="268" spans="5:25">
      <c r="E268" s="848"/>
      <c r="F268" s="848"/>
      <c r="G268" s="848"/>
      <c r="H268" s="848"/>
      <c r="I268" s="848"/>
      <c r="J268" s="848"/>
      <c r="K268" s="848"/>
      <c r="L268" s="848"/>
      <c r="M268" s="848"/>
      <c r="N268" s="848"/>
      <c r="O268" s="848"/>
      <c r="P268" s="848"/>
      <c r="Y268" s="849"/>
    </row>
    <row r="269" spans="5:25">
      <c r="E269" s="848"/>
      <c r="F269" s="848"/>
      <c r="G269" s="848"/>
      <c r="H269" s="848"/>
      <c r="I269" s="848"/>
      <c r="J269" s="848"/>
      <c r="K269" s="848"/>
      <c r="L269" s="848"/>
      <c r="M269" s="848"/>
      <c r="N269" s="848"/>
      <c r="O269" s="848"/>
      <c r="P269" s="848"/>
      <c r="Y269" s="849"/>
    </row>
    <row r="270" spans="5:25">
      <c r="E270" s="848"/>
      <c r="F270" s="848"/>
      <c r="G270" s="848"/>
      <c r="H270" s="848"/>
      <c r="I270" s="848"/>
      <c r="J270" s="848"/>
      <c r="K270" s="848"/>
      <c r="L270" s="848"/>
      <c r="M270" s="848"/>
      <c r="N270" s="848"/>
      <c r="O270" s="848"/>
      <c r="P270" s="848"/>
      <c r="Y270" s="849"/>
    </row>
    <row r="271" spans="5:25">
      <c r="E271" s="848"/>
      <c r="F271" s="848"/>
      <c r="G271" s="848"/>
      <c r="H271" s="848"/>
      <c r="I271" s="848"/>
      <c r="J271" s="848"/>
      <c r="K271" s="848"/>
      <c r="L271" s="848"/>
      <c r="M271" s="848"/>
      <c r="N271" s="848"/>
      <c r="O271" s="848"/>
      <c r="P271" s="848"/>
      <c r="Y271" s="849"/>
    </row>
    <row r="272" spans="5:25">
      <c r="E272" s="848"/>
      <c r="F272" s="848"/>
      <c r="G272" s="848"/>
      <c r="H272" s="848"/>
      <c r="I272" s="848"/>
      <c r="J272" s="848"/>
      <c r="K272" s="848"/>
      <c r="L272" s="848"/>
      <c r="M272" s="848"/>
      <c r="N272" s="848"/>
      <c r="O272" s="848"/>
      <c r="P272" s="848"/>
      <c r="Y272" s="849"/>
    </row>
    <row r="273" spans="5:25">
      <c r="E273" s="848"/>
      <c r="F273" s="848"/>
      <c r="G273" s="848"/>
      <c r="H273" s="848"/>
      <c r="I273" s="848"/>
      <c r="J273" s="848"/>
      <c r="K273" s="848"/>
      <c r="L273" s="848"/>
      <c r="M273" s="848"/>
      <c r="N273" s="848"/>
      <c r="O273" s="848"/>
      <c r="P273" s="848"/>
      <c r="Y273" s="849"/>
    </row>
    <row r="274" spans="5:25">
      <c r="E274" s="848"/>
      <c r="F274" s="848"/>
      <c r="G274" s="848"/>
      <c r="H274" s="848"/>
      <c r="I274" s="848"/>
      <c r="J274" s="848"/>
      <c r="K274" s="848"/>
      <c r="L274" s="848"/>
      <c r="M274" s="848"/>
      <c r="N274" s="848"/>
      <c r="O274" s="848"/>
      <c r="P274" s="848"/>
      <c r="Y274" s="849"/>
    </row>
    <row r="275" spans="5:25">
      <c r="E275" s="848"/>
      <c r="F275" s="848"/>
      <c r="G275" s="848"/>
      <c r="H275" s="848"/>
      <c r="I275" s="848"/>
      <c r="J275" s="848"/>
      <c r="K275" s="848"/>
      <c r="L275" s="848"/>
      <c r="M275" s="848"/>
      <c r="N275" s="848"/>
      <c r="O275" s="848"/>
      <c r="P275" s="848"/>
      <c r="Y275" s="849"/>
    </row>
    <row r="276" spans="5:25">
      <c r="E276" s="848"/>
      <c r="F276" s="848"/>
      <c r="G276" s="848"/>
      <c r="H276" s="848"/>
      <c r="I276" s="848"/>
      <c r="J276" s="848"/>
      <c r="K276" s="848"/>
      <c r="L276" s="848"/>
      <c r="M276" s="848"/>
      <c r="N276" s="848"/>
      <c r="O276" s="848"/>
      <c r="P276" s="848"/>
      <c r="Y276" s="849"/>
    </row>
    <row r="277" spans="5:25">
      <c r="E277" s="848"/>
      <c r="F277" s="848"/>
      <c r="G277" s="848"/>
      <c r="H277" s="848"/>
      <c r="I277" s="848"/>
      <c r="J277" s="848"/>
      <c r="K277" s="848"/>
      <c r="L277" s="848"/>
      <c r="M277" s="848"/>
      <c r="N277" s="848"/>
      <c r="O277" s="848"/>
      <c r="P277" s="848"/>
      <c r="Y277" s="849"/>
    </row>
    <row r="278" spans="5:25">
      <c r="E278" s="848"/>
      <c r="F278" s="848"/>
      <c r="G278" s="848"/>
      <c r="H278" s="848"/>
      <c r="I278" s="848"/>
      <c r="J278" s="848"/>
      <c r="K278" s="848"/>
      <c r="L278" s="848"/>
      <c r="M278" s="848"/>
      <c r="N278" s="848"/>
      <c r="O278" s="848"/>
      <c r="P278" s="848"/>
      <c r="Y278" s="849"/>
    </row>
    <row r="279" spans="5:25">
      <c r="E279" s="848"/>
      <c r="F279" s="848"/>
      <c r="G279" s="848"/>
      <c r="H279" s="848"/>
      <c r="I279" s="848"/>
      <c r="J279" s="848"/>
      <c r="K279" s="848"/>
      <c r="L279" s="848"/>
      <c r="M279" s="848"/>
      <c r="N279" s="848"/>
      <c r="O279" s="848"/>
      <c r="P279" s="848"/>
      <c r="Y279" s="849"/>
    </row>
    <row r="280" spans="5:25">
      <c r="E280" s="848"/>
      <c r="F280" s="848"/>
      <c r="G280" s="848"/>
      <c r="H280" s="848"/>
      <c r="I280" s="848"/>
      <c r="J280" s="848"/>
      <c r="K280" s="848"/>
      <c r="L280" s="848"/>
      <c r="M280" s="848"/>
      <c r="N280" s="848"/>
      <c r="O280" s="848"/>
      <c r="P280" s="848"/>
      <c r="Y280" s="849"/>
    </row>
    <row r="281" spans="5:25">
      <c r="E281" s="848"/>
      <c r="F281" s="848"/>
      <c r="G281" s="848"/>
      <c r="H281" s="848"/>
      <c r="I281" s="848"/>
      <c r="J281" s="848"/>
      <c r="K281" s="848"/>
      <c r="L281" s="848"/>
      <c r="M281" s="848"/>
      <c r="N281" s="848"/>
      <c r="O281" s="848"/>
      <c r="P281" s="848"/>
      <c r="Y281" s="849"/>
    </row>
    <row r="282" spans="5:25">
      <c r="E282" s="848"/>
      <c r="F282" s="848"/>
      <c r="G282" s="848"/>
      <c r="H282" s="848"/>
      <c r="I282" s="848"/>
      <c r="J282" s="848"/>
      <c r="K282" s="848"/>
      <c r="L282" s="848"/>
      <c r="M282" s="848"/>
      <c r="N282" s="848"/>
      <c r="O282" s="848"/>
      <c r="P282" s="848"/>
      <c r="Y282" s="849"/>
    </row>
    <row r="283" spans="5:25">
      <c r="E283" s="848"/>
      <c r="F283" s="848"/>
      <c r="G283" s="848"/>
      <c r="H283" s="848"/>
      <c r="I283" s="848"/>
      <c r="J283" s="848"/>
      <c r="K283" s="848"/>
      <c r="L283" s="848"/>
      <c r="M283" s="848"/>
      <c r="N283" s="848"/>
      <c r="O283" s="848"/>
      <c r="P283" s="848"/>
      <c r="Y283" s="849"/>
    </row>
    <row r="284" spans="5:25">
      <c r="E284" s="848"/>
      <c r="F284" s="848"/>
      <c r="G284" s="848"/>
      <c r="H284" s="848"/>
      <c r="I284" s="848"/>
      <c r="J284" s="848"/>
      <c r="K284" s="848"/>
      <c r="L284" s="848"/>
      <c r="M284" s="848"/>
      <c r="N284" s="848"/>
      <c r="O284" s="848"/>
      <c r="P284" s="848"/>
      <c r="Y284" s="849"/>
    </row>
    <row r="285" spans="5:25">
      <c r="E285" s="848"/>
      <c r="F285" s="848"/>
      <c r="G285" s="848"/>
      <c r="H285" s="848"/>
      <c r="I285" s="848"/>
      <c r="J285" s="848"/>
      <c r="K285" s="848"/>
      <c r="L285" s="848"/>
      <c r="M285" s="848"/>
      <c r="N285" s="848"/>
      <c r="O285" s="848"/>
      <c r="P285" s="848"/>
      <c r="Y285" s="849"/>
    </row>
    <row r="286" spans="5:25">
      <c r="E286" s="848"/>
      <c r="F286" s="848"/>
      <c r="G286" s="848"/>
      <c r="H286" s="848"/>
      <c r="I286" s="848"/>
      <c r="J286" s="848"/>
      <c r="K286" s="848"/>
      <c r="L286" s="848"/>
      <c r="M286" s="848"/>
      <c r="N286" s="848"/>
      <c r="O286" s="848"/>
      <c r="P286" s="848"/>
      <c r="Y286" s="849"/>
    </row>
    <row r="287" spans="5:25">
      <c r="E287" s="848"/>
      <c r="F287" s="848"/>
      <c r="G287" s="848"/>
      <c r="H287" s="848"/>
      <c r="I287" s="848"/>
      <c r="J287" s="848"/>
      <c r="K287" s="848"/>
      <c r="L287" s="848"/>
      <c r="M287" s="848"/>
      <c r="N287" s="848"/>
      <c r="O287" s="848"/>
      <c r="P287" s="848"/>
      <c r="Y287" s="849"/>
    </row>
    <row r="288" spans="5:25">
      <c r="E288" s="848"/>
      <c r="F288" s="848"/>
      <c r="G288" s="848"/>
      <c r="H288" s="848"/>
      <c r="I288" s="848"/>
      <c r="J288" s="848"/>
      <c r="K288" s="848"/>
      <c r="L288" s="848"/>
      <c r="M288" s="848"/>
      <c r="N288" s="848"/>
      <c r="O288" s="848"/>
      <c r="P288" s="848"/>
      <c r="Y288" s="849"/>
    </row>
    <row r="289" spans="5:25">
      <c r="E289" s="848"/>
      <c r="F289" s="848"/>
      <c r="G289" s="848"/>
      <c r="H289" s="848"/>
      <c r="I289" s="848"/>
      <c r="J289" s="848"/>
      <c r="K289" s="848"/>
      <c r="L289" s="848"/>
      <c r="M289" s="848"/>
      <c r="N289" s="848"/>
      <c r="O289" s="848"/>
      <c r="P289" s="848"/>
      <c r="Y289" s="849"/>
    </row>
    <row r="290" spans="5:25">
      <c r="E290" s="848"/>
      <c r="F290" s="848"/>
      <c r="G290" s="848"/>
      <c r="H290" s="848"/>
      <c r="I290" s="848"/>
      <c r="J290" s="848"/>
      <c r="K290" s="848"/>
      <c r="L290" s="848"/>
      <c r="M290" s="848"/>
      <c r="N290" s="848"/>
      <c r="O290" s="848"/>
      <c r="P290" s="848"/>
      <c r="Y290" s="849"/>
    </row>
    <row r="291" spans="5:25">
      <c r="E291" s="848"/>
      <c r="F291" s="848"/>
      <c r="G291" s="848"/>
      <c r="H291" s="848"/>
      <c r="I291" s="848"/>
      <c r="J291" s="848"/>
      <c r="K291" s="848"/>
      <c r="L291" s="848"/>
      <c r="M291" s="848"/>
      <c r="N291" s="848"/>
      <c r="O291" s="848"/>
      <c r="P291" s="848"/>
      <c r="Y291" s="849"/>
    </row>
    <row r="292" spans="5:25">
      <c r="E292" s="848"/>
      <c r="F292" s="848"/>
      <c r="G292" s="848"/>
      <c r="H292" s="848"/>
      <c r="I292" s="848"/>
      <c r="J292" s="848"/>
      <c r="K292" s="848"/>
      <c r="L292" s="848"/>
      <c r="M292" s="848"/>
      <c r="N292" s="848"/>
      <c r="O292" s="848"/>
      <c r="P292" s="848"/>
      <c r="Y292" s="849"/>
    </row>
    <row r="293" spans="5:25">
      <c r="E293" s="848"/>
      <c r="F293" s="848"/>
      <c r="G293" s="848"/>
      <c r="H293" s="848"/>
      <c r="I293" s="848"/>
      <c r="J293" s="848"/>
      <c r="K293" s="848"/>
      <c r="L293" s="848"/>
      <c r="M293" s="848"/>
      <c r="N293" s="848"/>
      <c r="O293" s="848"/>
      <c r="P293" s="848"/>
      <c r="Y293" s="849"/>
    </row>
    <row r="294" spans="5:25">
      <c r="E294" s="848"/>
      <c r="F294" s="848"/>
      <c r="G294" s="848"/>
      <c r="H294" s="848"/>
      <c r="I294" s="848"/>
      <c r="J294" s="848"/>
      <c r="K294" s="848"/>
      <c r="L294" s="848"/>
      <c r="M294" s="848"/>
      <c r="N294" s="848"/>
      <c r="O294" s="848"/>
      <c r="P294" s="848"/>
      <c r="Y294" s="849"/>
    </row>
    <row r="295" spans="5:25">
      <c r="E295" s="848"/>
      <c r="F295" s="848"/>
      <c r="G295" s="848"/>
      <c r="H295" s="848"/>
      <c r="I295" s="848"/>
      <c r="J295" s="848"/>
      <c r="K295" s="848"/>
      <c r="L295" s="848"/>
      <c r="M295" s="848"/>
      <c r="N295" s="848"/>
      <c r="O295" s="848"/>
      <c r="P295" s="848"/>
      <c r="Y295" s="849"/>
    </row>
    <row r="296" spans="5:25">
      <c r="E296" s="848"/>
      <c r="F296" s="848"/>
      <c r="G296" s="848"/>
      <c r="H296" s="848"/>
      <c r="I296" s="848"/>
      <c r="J296" s="848"/>
      <c r="K296" s="848"/>
      <c r="L296" s="848"/>
      <c r="M296" s="848"/>
      <c r="N296" s="848"/>
      <c r="O296" s="848"/>
      <c r="P296" s="848"/>
      <c r="Y296" s="849"/>
    </row>
    <row r="297" spans="5:25">
      <c r="E297" s="848"/>
      <c r="F297" s="848"/>
      <c r="G297" s="848"/>
      <c r="H297" s="848"/>
      <c r="I297" s="848"/>
      <c r="J297" s="848"/>
      <c r="K297" s="848"/>
      <c r="L297" s="848"/>
      <c r="M297" s="848"/>
      <c r="N297" s="848"/>
      <c r="O297" s="848"/>
      <c r="P297" s="848"/>
      <c r="Y297" s="849"/>
    </row>
    <row r="298" spans="5:25">
      <c r="E298" s="848"/>
      <c r="F298" s="848"/>
      <c r="G298" s="848"/>
      <c r="H298" s="848"/>
      <c r="I298" s="848"/>
      <c r="J298" s="848"/>
      <c r="K298" s="848"/>
      <c r="L298" s="848"/>
      <c r="M298" s="848"/>
      <c r="N298" s="848"/>
      <c r="O298" s="848"/>
      <c r="P298" s="848"/>
      <c r="Y298" s="849"/>
    </row>
    <row r="299" spans="5:25">
      <c r="E299" s="848"/>
      <c r="F299" s="848"/>
      <c r="G299" s="848"/>
      <c r="H299" s="848"/>
      <c r="I299" s="848"/>
      <c r="J299" s="848"/>
      <c r="K299" s="848"/>
      <c r="L299" s="848"/>
      <c r="M299" s="848"/>
      <c r="N299" s="848"/>
      <c r="O299" s="848"/>
      <c r="P299" s="848"/>
      <c r="Y299" s="849"/>
    </row>
    <row r="300" spans="5:25">
      <c r="E300" s="848"/>
      <c r="F300" s="848"/>
      <c r="G300" s="848"/>
      <c r="H300" s="848"/>
      <c r="I300" s="848"/>
      <c r="J300" s="848"/>
      <c r="K300" s="848"/>
      <c r="L300" s="848"/>
      <c r="M300" s="848"/>
      <c r="N300" s="848"/>
      <c r="O300" s="848"/>
      <c r="P300" s="848"/>
      <c r="Y300" s="849"/>
    </row>
    <row r="301" spans="5:25">
      <c r="E301" s="848"/>
      <c r="F301" s="848"/>
      <c r="G301" s="848"/>
      <c r="H301" s="848"/>
      <c r="I301" s="848"/>
      <c r="J301" s="848"/>
      <c r="K301" s="848"/>
      <c r="L301" s="848"/>
      <c r="M301" s="848"/>
      <c r="N301" s="848"/>
      <c r="O301" s="848"/>
      <c r="P301" s="848"/>
      <c r="Y301" s="849"/>
    </row>
    <row r="302" spans="5:25">
      <c r="E302" s="848"/>
      <c r="F302" s="848"/>
      <c r="G302" s="848"/>
      <c r="H302" s="848"/>
      <c r="I302" s="848"/>
      <c r="J302" s="848"/>
      <c r="K302" s="848"/>
      <c r="L302" s="848"/>
      <c r="M302" s="848"/>
      <c r="N302" s="848"/>
      <c r="O302" s="848"/>
      <c r="P302" s="848"/>
      <c r="Y302" s="849"/>
    </row>
    <row r="303" spans="5:25">
      <c r="E303" s="848"/>
      <c r="F303" s="848"/>
      <c r="G303" s="848"/>
      <c r="H303" s="848"/>
      <c r="I303" s="848"/>
      <c r="J303" s="848"/>
      <c r="K303" s="848"/>
      <c r="L303" s="848"/>
      <c r="M303" s="848"/>
      <c r="N303" s="848"/>
      <c r="O303" s="848"/>
      <c r="P303" s="848"/>
      <c r="Y303" s="849"/>
    </row>
    <row r="304" spans="5:25">
      <c r="E304" s="848"/>
      <c r="F304" s="848"/>
      <c r="G304" s="848"/>
      <c r="H304" s="848"/>
      <c r="I304" s="848"/>
      <c r="J304" s="848"/>
      <c r="K304" s="848"/>
      <c r="L304" s="848"/>
      <c r="M304" s="848"/>
      <c r="N304" s="848"/>
      <c r="O304" s="848"/>
      <c r="P304" s="848"/>
      <c r="Y304" s="849"/>
    </row>
    <row r="305" spans="5:25">
      <c r="E305" s="848"/>
      <c r="F305" s="848"/>
      <c r="G305" s="848"/>
      <c r="H305" s="848"/>
      <c r="I305" s="848"/>
      <c r="J305" s="848"/>
      <c r="K305" s="848"/>
      <c r="L305" s="848"/>
      <c r="M305" s="848"/>
      <c r="N305" s="848"/>
      <c r="O305" s="848"/>
      <c r="P305" s="848"/>
      <c r="Y305" s="849"/>
    </row>
    <row r="306" spans="5:25">
      <c r="E306" s="848"/>
      <c r="F306" s="848"/>
      <c r="G306" s="848"/>
      <c r="H306" s="848"/>
      <c r="I306" s="848"/>
      <c r="J306" s="848"/>
      <c r="K306" s="848"/>
      <c r="L306" s="848"/>
      <c r="M306" s="848"/>
      <c r="N306" s="848"/>
      <c r="O306" s="848"/>
      <c r="P306" s="848"/>
      <c r="Y306" s="849"/>
    </row>
    <row r="307" spans="5:25">
      <c r="E307" s="848"/>
      <c r="F307" s="848"/>
      <c r="G307" s="848"/>
      <c r="H307" s="848"/>
      <c r="I307" s="848"/>
      <c r="J307" s="848"/>
      <c r="K307" s="848"/>
      <c r="L307" s="848"/>
      <c r="M307" s="848"/>
      <c r="N307" s="848"/>
      <c r="O307" s="848"/>
      <c r="P307" s="848"/>
      <c r="Y307" s="849"/>
    </row>
    <row r="308" spans="5:25">
      <c r="E308" s="848"/>
      <c r="F308" s="848"/>
      <c r="G308" s="848"/>
      <c r="H308" s="848"/>
      <c r="I308" s="848"/>
      <c r="J308" s="848"/>
      <c r="K308" s="848"/>
      <c r="L308" s="848"/>
      <c r="M308" s="848"/>
      <c r="N308" s="848"/>
      <c r="O308" s="848"/>
      <c r="P308" s="848"/>
      <c r="Y308" s="849"/>
    </row>
    <row r="309" spans="5:25">
      <c r="E309" s="848"/>
      <c r="F309" s="848"/>
      <c r="G309" s="848"/>
      <c r="H309" s="848"/>
      <c r="I309" s="848"/>
      <c r="J309" s="848"/>
      <c r="K309" s="848"/>
      <c r="L309" s="848"/>
      <c r="M309" s="848"/>
      <c r="N309" s="848"/>
      <c r="O309" s="848"/>
      <c r="P309" s="848"/>
      <c r="Y309" s="849"/>
    </row>
    <row r="310" spans="5:25">
      <c r="E310" s="848"/>
      <c r="F310" s="848"/>
      <c r="G310" s="848"/>
      <c r="H310" s="848"/>
      <c r="I310" s="848"/>
      <c r="J310" s="848"/>
      <c r="K310" s="848"/>
      <c r="L310" s="848"/>
      <c r="M310" s="848"/>
      <c r="N310" s="848"/>
      <c r="O310" s="848"/>
      <c r="P310" s="848"/>
      <c r="Y310" s="849"/>
    </row>
    <row r="311" spans="5:25">
      <c r="E311" s="848"/>
      <c r="F311" s="848"/>
      <c r="G311" s="848"/>
      <c r="H311" s="848"/>
      <c r="I311" s="848"/>
      <c r="J311" s="848"/>
      <c r="K311" s="848"/>
      <c r="L311" s="848"/>
      <c r="M311" s="848"/>
      <c r="N311" s="848"/>
      <c r="O311" s="848"/>
      <c r="P311" s="848"/>
      <c r="Y311" s="849"/>
    </row>
    <row r="312" spans="5:25">
      <c r="E312" s="848"/>
      <c r="F312" s="848"/>
      <c r="G312" s="848"/>
      <c r="H312" s="848"/>
      <c r="I312" s="848"/>
      <c r="J312" s="848"/>
      <c r="K312" s="848"/>
      <c r="L312" s="848"/>
      <c r="M312" s="848"/>
      <c r="N312" s="848"/>
      <c r="O312" s="848"/>
      <c r="P312" s="848"/>
      <c r="Y312" s="849"/>
    </row>
    <row r="313" spans="5:25">
      <c r="E313" s="848"/>
      <c r="F313" s="848"/>
      <c r="G313" s="848"/>
      <c r="H313" s="848"/>
      <c r="I313" s="848"/>
      <c r="J313" s="848"/>
      <c r="K313" s="848"/>
      <c r="L313" s="848"/>
      <c r="M313" s="848"/>
      <c r="N313" s="848"/>
      <c r="O313" s="848"/>
      <c r="P313" s="848"/>
      <c r="Y313" s="849"/>
    </row>
    <row r="314" spans="5:25">
      <c r="E314" s="848"/>
      <c r="F314" s="848"/>
      <c r="G314" s="848"/>
      <c r="H314" s="848"/>
      <c r="I314" s="848"/>
      <c r="J314" s="848"/>
      <c r="K314" s="848"/>
      <c r="L314" s="848"/>
      <c r="M314" s="848"/>
      <c r="N314" s="848"/>
      <c r="O314" s="848"/>
      <c r="P314" s="848"/>
      <c r="Y314" s="849"/>
    </row>
    <row r="315" spans="5:25">
      <c r="E315" s="848"/>
      <c r="F315" s="848"/>
      <c r="G315" s="848"/>
      <c r="H315" s="848"/>
      <c r="I315" s="848"/>
      <c r="J315" s="848"/>
      <c r="K315" s="848"/>
      <c r="L315" s="848"/>
      <c r="M315" s="848"/>
      <c r="N315" s="848"/>
      <c r="O315" s="848"/>
      <c r="P315" s="848"/>
      <c r="Y315" s="849"/>
    </row>
    <row r="316" spans="5:25">
      <c r="E316" s="848"/>
      <c r="F316" s="848"/>
      <c r="G316" s="848"/>
      <c r="H316" s="848"/>
      <c r="I316" s="848"/>
      <c r="J316" s="848"/>
      <c r="K316" s="848"/>
      <c r="L316" s="848"/>
      <c r="M316" s="848"/>
      <c r="N316" s="848"/>
      <c r="O316" s="848"/>
      <c r="P316" s="848"/>
      <c r="Y316" s="849"/>
    </row>
    <row r="317" spans="5:25">
      <c r="E317" s="848"/>
      <c r="F317" s="848"/>
      <c r="G317" s="848"/>
      <c r="H317" s="848"/>
      <c r="I317" s="848"/>
      <c r="J317" s="848"/>
      <c r="K317" s="848"/>
      <c r="L317" s="848"/>
      <c r="M317" s="848"/>
      <c r="N317" s="848"/>
      <c r="O317" s="848"/>
      <c r="P317" s="848"/>
      <c r="Y317" s="849"/>
    </row>
    <row r="318" spans="5:25">
      <c r="E318" s="848"/>
      <c r="F318" s="848"/>
      <c r="G318" s="848"/>
      <c r="H318" s="848"/>
      <c r="I318" s="848"/>
      <c r="J318" s="848"/>
      <c r="K318" s="848"/>
      <c r="L318" s="848"/>
      <c r="M318" s="848"/>
      <c r="N318" s="848"/>
      <c r="O318" s="848"/>
      <c r="P318" s="848"/>
      <c r="Y318" s="849"/>
    </row>
    <row r="319" spans="5:25">
      <c r="E319" s="848"/>
      <c r="F319" s="848"/>
      <c r="G319" s="848"/>
      <c r="H319" s="848"/>
      <c r="I319" s="848"/>
      <c r="J319" s="848"/>
      <c r="K319" s="848"/>
      <c r="L319" s="848"/>
      <c r="M319" s="848"/>
      <c r="N319" s="848"/>
      <c r="O319" s="848"/>
      <c r="P319" s="848"/>
      <c r="Y319" s="849"/>
    </row>
    <row r="320" spans="5:25">
      <c r="E320" s="848"/>
      <c r="F320" s="848"/>
      <c r="G320" s="848"/>
      <c r="H320" s="848"/>
      <c r="I320" s="848"/>
      <c r="J320" s="848"/>
      <c r="K320" s="848"/>
      <c r="L320" s="848"/>
      <c r="M320" s="848"/>
      <c r="N320" s="848"/>
      <c r="O320" s="848"/>
      <c r="P320" s="848"/>
      <c r="Y320" s="849"/>
    </row>
    <row r="321" spans="5:25">
      <c r="E321" s="848"/>
      <c r="F321" s="848"/>
      <c r="G321" s="848"/>
      <c r="H321" s="848"/>
      <c r="I321" s="848"/>
      <c r="J321" s="848"/>
      <c r="K321" s="848"/>
      <c r="L321" s="848"/>
      <c r="M321" s="848"/>
      <c r="N321" s="848"/>
      <c r="O321" s="848"/>
      <c r="P321" s="848"/>
      <c r="Y321" s="849"/>
    </row>
    <row r="322" spans="5:25">
      <c r="E322" s="848"/>
      <c r="F322" s="848"/>
      <c r="G322" s="848"/>
      <c r="H322" s="848"/>
      <c r="I322" s="848"/>
      <c r="J322" s="848"/>
      <c r="K322" s="848"/>
      <c r="L322" s="848"/>
      <c r="M322" s="848"/>
      <c r="N322" s="848"/>
      <c r="O322" s="848"/>
      <c r="P322" s="848"/>
      <c r="Y322" s="849"/>
    </row>
    <row r="323" spans="5:25">
      <c r="E323" s="848"/>
      <c r="F323" s="848"/>
      <c r="G323" s="848"/>
      <c r="H323" s="848"/>
      <c r="I323" s="848"/>
      <c r="J323" s="848"/>
      <c r="K323" s="848"/>
      <c r="L323" s="848"/>
      <c r="M323" s="848"/>
      <c r="N323" s="848"/>
      <c r="O323" s="848"/>
      <c r="P323" s="848"/>
      <c r="Y323" s="849"/>
    </row>
    <row r="324" spans="5:25">
      <c r="E324" s="848"/>
      <c r="F324" s="848"/>
      <c r="G324" s="848"/>
      <c r="H324" s="848"/>
      <c r="I324" s="848"/>
      <c r="J324" s="848"/>
      <c r="K324" s="848"/>
      <c r="L324" s="848"/>
      <c r="M324" s="848"/>
      <c r="N324" s="848"/>
      <c r="O324" s="848"/>
      <c r="P324" s="848"/>
      <c r="Y324" s="849"/>
    </row>
    <row r="325" spans="5:25">
      <c r="E325" s="848"/>
      <c r="F325" s="848"/>
      <c r="G325" s="848"/>
      <c r="H325" s="848"/>
      <c r="I325" s="848"/>
      <c r="J325" s="848"/>
      <c r="K325" s="848"/>
      <c r="L325" s="848"/>
      <c r="M325" s="848"/>
      <c r="N325" s="848"/>
      <c r="O325" s="848"/>
      <c r="P325" s="848"/>
      <c r="Y325" s="849"/>
    </row>
    <row r="326" spans="5:25">
      <c r="E326" s="848"/>
      <c r="F326" s="848"/>
      <c r="G326" s="848"/>
      <c r="H326" s="848"/>
      <c r="I326" s="848"/>
      <c r="J326" s="848"/>
      <c r="K326" s="848"/>
      <c r="L326" s="848"/>
      <c r="M326" s="848"/>
      <c r="N326" s="848"/>
      <c r="O326" s="848"/>
      <c r="P326" s="848"/>
      <c r="Y326" s="849"/>
    </row>
    <row r="327" spans="5:25">
      <c r="E327" s="848"/>
      <c r="F327" s="848"/>
      <c r="G327" s="848"/>
      <c r="H327" s="848"/>
      <c r="I327" s="848"/>
      <c r="J327" s="848"/>
      <c r="K327" s="848"/>
      <c r="L327" s="848"/>
      <c r="M327" s="848"/>
      <c r="N327" s="848"/>
      <c r="O327" s="848"/>
      <c r="P327" s="848"/>
      <c r="Y327" s="849"/>
    </row>
    <row r="328" spans="5:25">
      <c r="E328" s="848"/>
      <c r="F328" s="848"/>
      <c r="G328" s="848"/>
      <c r="H328" s="848"/>
      <c r="I328" s="848"/>
      <c r="J328" s="848"/>
      <c r="K328" s="848"/>
      <c r="L328" s="848"/>
      <c r="M328" s="848"/>
      <c r="N328" s="848"/>
      <c r="O328" s="848"/>
      <c r="P328" s="848"/>
      <c r="Y328" s="849"/>
    </row>
    <row r="329" spans="5:25">
      <c r="E329" s="848"/>
      <c r="F329" s="848"/>
      <c r="G329" s="848"/>
      <c r="H329" s="848"/>
      <c r="I329" s="848"/>
      <c r="J329" s="848"/>
      <c r="K329" s="848"/>
      <c r="L329" s="848"/>
      <c r="M329" s="848"/>
      <c r="N329" s="848"/>
      <c r="O329" s="848"/>
      <c r="P329" s="848"/>
      <c r="Y329" s="849"/>
    </row>
    <row r="330" spans="5:25">
      <c r="E330" s="848"/>
      <c r="F330" s="848"/>
      <c r="G330" s="848"/>
      <c r="H330" s="848"/>
      <c r="I330" s="848"/>
      <c r="J330" s="848"/>
      <c r="K330" s="848"/>
      <c r="L330" s="848"/>
      <c r="M330" s="848"/>
      <c r="N330" s="848"/>
      <c r="O330" s="848"/>
      <c r="P330" s="848"/>
      <c r="Y330" s="849"/>
    </row>
    <row r="331" spans="5:25">
      <c r="E331" s="848"/>
      <c r="F331" s="848"/>
      <c r="G331" s="848"/>
      <c r="H331" s="848"/>
      <c r="I331" s="848"/>
      <c r="J331" s="848"/>
      <c r="K331" s="848"/>
      <c r="L331" s="848"/>
      <c r="M331" s="848"/>
      <c r="N331" s="848"/>
      <c r="O331" s="848"/>
      <c r="P331" s="848"/>
      <c r="Y331" s="849"/>
    </row>
    <row r="332" spans="5:25">
      <c r="E332" s="848"/>
      <c r="F332" s="848"/>
      <c r="G332" s="848"/>
      <c r="H332" s="848"/>
      <c r="I332" s="848"/>
      <c r="J332" s="848"/>
      <c r="K332" s="848"/>
      <c r="L332" s="848"/>
      <c r="M332" s="848"/>
      <c r="N332" s="848"/>
      <c r="O332" s="848"/>
      <c r="P332" s="848"/>
      <c r="Y332" s="849"/>
    </row>
    <row r="333" spans="5:25">
      <c r="E333" s="848"/>
      <c r="F333" s="848"/>
      <c r="G333" s="848"/>
      <c r="H333" s="848"/>
      <c r="I333" s="848"/>
      <c r="J333" s="848"/>
      <c r="K333" s="848"/>
      <c r="L333" s="848"/>
      <c r="M333" s="848"/>
      <c r="N333" s="848"/>
      <c r="O333" s="848"/>
      <c r="P333" s="848"/>
      <c r="Y333" s="849"/>
    </row>
    <row r="334" spans="5:25">
      <c r="E334" s="848"/>
      <c r="F334" s="848"/>
      <c r="G334" s="848"/>
      <c r="H334" s="848"/>
      <c r="I334" s="848"/>
      <c r="J334" s="848"/>
      <c r="K334" s="848"/>
      <c r="L334" s="848"/>
      <c r="M334" s="848"/>
      <c r="N334" s="848"/>
      <c r="O334" s="848"/>
      <c r="P334" s="848"/>
      <c r="Y334" s="849"/>
    </row>
    <row r="335" spans="5:25">
      <c r="E335" s="848"/>
      <c r="F335" s="848"/>
      <c r="G335" s="848"/>
      <c r="H335" s="848"/>
      <c r="I335" s="848"/>
      <c r="J335" s="848"/>
      <c r="K335" s="848"/>
      <c r="L335" s="848"/>
      <c r="M335" s="848"/>
      <c r="N335" s="848"/>
      <c r="O335" s="848"/>
      <c r="P335" s="848"/>
      <c r="Y335" s="849"/>
    </row>
    <row r="336" spans="5:25">
      <c r="E336" s="848"/>
      <c r="F336" s="848"/>
      <c r="G336" s="848"/>
      <c r="H336" s="848"/>
      <c r="I336" s="848"/>
      <c r="J336" s="848"/>
      <c r="K336" s="848"/>
      <c r="L336" s="848"/>
      <c r="M336" s="848"/>
      <c r="N336" s="848"/>
      <c r="O336" s="848"/>
      <c r="P336" s="848"/>
      <c r="Y336" s="849"/>
    </row>
    <row r="337" spans="5:25">
      <c r="E337" s="848"/>
      <c r="F337" s="848"/>
      <c r="G337" s="848"/>
      <c r="H337" s="848"/>
      <c r="I337" s="848"/>
      <c r="J337" s="848"/>
      <c r="K337" s="848"/>
      <c r="L337" s="848"/>
      <c r="M337" s="848"/>
      <c r="N337" s="848"/>
      <c r="O337" s="848"/>
      <c r="P337" s="848"/>
      <c r="Y337" s="849"/>
    </row>
    <row r="338" spans="5:25">
      <c r="E338" s="848"/>
      <c r="F338" s="848"/>
      <c r="G338" s="848"/>
      <c r="H338" s="848"/>
      <c r="I338" s="848"/>
      <c r="J338" s="848"/>
      <c r="K338" s="848"/>
      <c r="L338" s="848"/>
      <c r="M338" s="848"/>
      <c r="N338" s="848"/>
      <c r="O338" s="848"/>
      <c r="P338" s="848"/>
      <c r="Y338" s="849"/>
    </row>
    <row r="339" spans="5:25">
      <c r="E339" s="848"/>
      <c r="F339" s="848"/>
      <c r="G339" s="848"/>
      <c r="H339" s="848"/>
      <c r="I339" s="848"/>
      <c r="J339" s="848"/>
      <c r="K339" s="848"/>
      <c r="L339" s="848"/>
      <c r="M339" s="848"/>
      <c r="N339" s="848"/>
      <c r="O339" s="848"/>
      <c r="P339" s="848"/>
      <c r="Y339" s="849"/>
    </row>
    <row r="340" spans="5:25">
      <c r="E340" s="848"/>
      <c r="F340" s="848"/>
      <c r="G340" s="848"/>
      <c r="H340" s="848"/>
      <c r="I340" s="848"/>
      <c r="J340" s="848"/>
      <c r="K340" s="848"/>
      <c r="L340" s="848"/>
      <c r="M340" s="848"/>
      <c r="N340" s="848"/>
      <c r="O340" s="848"/>
      <c r="P340" s="848"/>
      <c r="Y340" s="849"/>
    </row>
    <row r="341" spans="5:25">
      <c r="E341" s="848"/>
      <c r="F341" s="848"/>
      <c r="G341" s="848"/>
      <c r="H341" s="848"/>
      <c r="I341" s="848"/>
      <c r="J341" s="848"/>
      <c r="K341" s="848"/>
      <c r="L341" s="848"/>
      <c r="M341" s="848"/>
      <c r="N341" s="848"/>
      <c r="O341" s="848"/>
      <c r="P341" s="848"/>
      <c r="Y341" s="849"/>
    </row>
    <row r="342" spans="5:25">
      <c r="E342" s="848"/>
      <c r="F342" s="848"/>
      <c r="G342" s="848"/>
      <c r="H342" s="848"/>
      <c r="I342" s="848"/>
      <c r="J342" s="848"/>
      <c r="K342" s="848"/>
      <c r="L342" s="848"/>
      <c r="M342" s="848"/>
      <c r="N342" s="848"/>
      <c r="O342" s="848"/>
      <c r="P342" s="848"/>
      <c r="Y342" s="849"/>
    </row>
    <row r="343" spans="5:25">
      <c r="E343" s="848"/>
      <c r="F343" s="848"/>
      <c r="G343" s="848"/>
      <c r="H343" s="848"/>
      <c r="I343" s="848"/>
      <c r="J343" s="848"/>
      <c r="K343" s="848"/>
      <c r="L343" s="848"/>
      <c r="M343" s="848"/>
      <c r="N343" s="848"/>
      <c r="O343" s="848"/>
      <c r="P343" s="848"/>
      <c r="Y343" s="849"/>
    </row>
    <row r="344" spans="5:25">
      <c r="E344" s="848"/>
      <c r="F344" s="848"/>
      <c r="G344" s="848"/>
      <c r="H344" s="848"/>
      <c r="I344" s="848"/>
      <c r="J344" s="848"/>
      <c r="K344" s="848"/>
      <c r="L344" s="848"/>
      <c r="M344" s="848"/>
      <c r="N344" s="848"/>
      <c r="O344" s="848"/>
      <c r="P344" s="848"/>
      <c r="Y344" s="849"/>
    </row>
    <row r="345" spans="5:25">
      <c r="E345" s="848"/>
      <c r="F345" s="848"/>
      <c r="G345" s="848"/>
      <c r="H345" s="848"/>
      <c r="I345" s="848"/>
      <c r="J345" s="848"/>
      <c r="K345" s="848"/>
      <c r="L345" s="848"/>
      <c r="M345" s="848"/>
      <c r="N345" s="848"/>
      <c r="O345" s="848"/>
      <c r="P345" s="848"/>
      <c r="Y345" s="849"/>
    </row>
    <row r="346" spans="5:25">
      <c r="E346" s="848"/>
      <c r="F346" s="848"/>
      <c r="G346" s="848"/>
      <c r="H346" s="848"/>
      <c r="I346" s="848"/>
      <c r="J346" s="848"/>
      <c r="K346" s="848"/>
      <c r="L346" s="848"/>
      <c r="M346" s="848"/>
      <c r="N346" s="848"/>
      <c r="O346" s="848"/>
      <c r="P346" s="848"/>
      <c r="Y346" s="849"/>
    </row>
    <row r="347" spans="5:25">
      <c r="E347" s="848"/>
      <c r="F347" s="848"/>
      <c r="G347" s="848"/>
      <c r="H347" s="848"/>
      <c r="I347" s="848"/>
      <c r="J347" s="848"/>
      <c r="K347" s="848"/>
      <c r="L347" s="848"/>
      <c r="M347" s="848"/>
      <c r="N347" s="848"/>
      <c r="O347" s="848"/>
      <c r="P347" s="848"/>
      <c r="Y347" s="849"/>
    </row>
    <row r="348" spans="5:25">
      <c r="E348" s="848"/>
      <c r="F348" s="848"/>
      <c r="G348" s="848"/>
      <c r="H348" s="848"/>
      <c r="I348" s="848"/>
      <c r="J348" s="848"/>
      <c r="K348" s="848"/>
      <c r="L348" s="848"/>
      <c r="M348" s="848"/>
      <c r="N348" s="848"/>
      <c r="O348" s="848"/>
      <c r="P348" s="848"/>
      <c r="Y348" s="849"/>
    </row>
    <row r="349" spans="5:25">
      <c r="E349" s="848"/>
      <c r="F349" s="848"/>
      <c r="G349" s="848"/>
      <c r="H349" s="848"/>
      <c r="I349" s="848"/>
      <c r="J349" s="848"/>
      <c r="K349" s="848"/>
      <c r="L349" s="848"/>
      <c r="M349" s="848"/>
      <c r="N349" s="848"/>
      <c r="O349" s="848"/>
      <c r="P349" s="848"/>
      <c r="Y349" s="849"/>
    </row>
    <row r="350" spans="5:25">
      <c r="E350" s="848"/>
      <c r="F350" s="848"/>
      <c r="G350" s="848"/>
      <c r="H350" s="848"/>
      <c r="I350" s="848"/>
      <c r="J350" s="848"/>
      <c r="K350" s="848"/>
      <c r="L350" s="848"/>
      <c r="M350" s="848"/>
      <c r="N350" s="848"/>
      <c r="O350" s="848"/>
      <c r="P350" s="848"/>
      <c r="Y350" s="849"/>
    </row>
    <row r="351" spans="5:25">
      <c r="E351" s="848"/>
      <c r="F351" s="848"/>
      <c r="G351" s="848"/>
      <c r="H351" s="848"/>
      <c r="I351" s="848"/>
      <c r="J351" s="848"/>
      <c r="K351" s="848"/>
      <c r="L351" s="848"/>
      <c r="M351" s="848"/>
      <c r="N351" s="848"/>
      <c r="O351" s="848"/>
      <c r="P351" s="848"/>
      <c r="Y351" s="849"/>
    </row>
    <row r="352" spans="5:25">
      <c r="E352" s="848"/>
      <c r="F352" s="848"/>
      <c r="G352" s="848"/>
      <c r="H352" s="848"/>
      <c r="I352" s="848"/>
      <c r="J352" s="848"/>
      <c r="K352" s="848"/>
      <c r="L352" s="848"/>
      <c r="M352" s="848"/>
      <c r="N352" s="848"/>
      <c r="O352" s="848"/>
      <c r="P352" s="848"/>
      <c r="Y352" s="849"/>
    </row>
    <row r="353" spans="5:25">
      <c r="E353" s="848"/>
      <c r="F353" s="848"/>
      <c r="G353" s="848"/>
      <c r="H353" s="848"/>
      <c r="I353" s="848"/>
      <c r="J353" s="848"/>
      <c r="K353" s="848"/>
      <c r="L353" s="848"/>
      <c r="M353" s="848"/>
      <c r="N353" s="848"/>
      <c r="O353" s="848"/>
      <c r="P353" s="848"/>
      <c r="Y353" s="849"/>
    </row>
    <row r="354" spans="5:25">
      <c r="E354" s="848"/>
      <c r="F354" s="848"/>
      <c r="G354" s="848"/>
      <c r="H354" s="848"/>
      <c r="I354" s="848"/>
      <c r="J354" s="848"/>
      <c r="K354" s="848"/>
      <c r="L354" s="848"/>
      <c r="M354" s="848"/>
      <c r="N354" s="848"/>
      <c r="O354" s="848"/>
      <c r="P354" s="848"/>
      <c r="Y354" s="849"/>
    </row>
    <row r="355" spans="5:25">
      <c r="E355" s="848"/>
      <c r="F355" s="848"/>
      <c r="G355" s="848"/>
      <c r="H355" s="848"/>
      <c r="I355" s="848"/>
      <c r="J355" s="848"/>
      <c r="K355" s="848"/>
      <c r="L355" s="848"/>
      <c r="M355" s="848"/>
      <c r="N355" s="848"/>
      <c r="O355" s="848"/>
      <c r="P355" s="848"/>
      <c r="Y355" s="849"/>
    </row>
    <row r="356" spans="5:25">
      <c r="E356" s="848"/>
      <c r="F356" s="848"/>
      <c r="G356" s="848"/>
      <c r="H356" s="848"/>
      <c r="I356" s="848"/>
      <c r="J356" s="848"/>
      <c r="K356" s="848"/>
      <c r="L356" s="848"/>
      <c r="M356" s="848"/>
      <c r="N356" s="848"/>
      <c r="O356" s="848"/>
      <c r="P356" s="848"/>
      <c r="Y356" s="849"/>
    </row>
    <row r="357" spans="5:25">
      <c r="E357" s="848"/>
      <c r="F357" s="848"/>
      <c r="G357" s="848"/>
      <c r="H357" s="848"/>
      <c r="I357" s="848"/>
      <c r="J357" s="848"/>
      <c r="K357" s="848"/>
      <c r="L357" s="848"/>
      <c r="M357" s="848"/>
      <c r="N357" s="848"/>
      <c r="O357" s="848"/>
      <c r="P357" s="848"/>
      <c r="Y357" s="849"/>
    </row>
    <row r="358" spans="5:25">
      <c r="E358" s="848"/>
      <c r="F358" s="848"/>
      <c r="G358" s="848"/>
      <c r="H358" s="848"/>
      <c r="I358" s="848"/>
      <c r="J358" s="848"/>
      <c r="K358" s="848"/>
      <c r="L358" s="848"/>
      <c r="M358" s="848"/>
      <c r="N358" s="848"/>
      <c r="O358" s="848"/>
      <c r="P358" s="848"/>
      <c r="Y358" s="849"/>
    </row>
    <row r="359" spans="5:25">
      <c r="E359" s="848"/>
      <c r="F359" s="848"/>
      <c r="G359" s="848"/>
      <c r="H359" s="848"/>
      <c r="I359" s="848"/>
      <c r="J359" s="848"/>
      <c r="K359" s="848"/>
      <c r="L359" s="848"/>
      <c r="M359" s="848"/>
      <c r="N359" s="848"/>
      <c r="O359" s="848"/>
      <c r="P359" s="848"/>
      <c r="Y359" s="849"/>
    </row>
    <row r="360" spans="5:25">
      <c r="E360" s="848"/>
      <c r="F360" s="848"/>
      <c r="G360" s="848"/>
      <c r="H360" s="848"/>
      <c r="I360" s="848"/>
      <c r="J360" s="848"/>
      <c r="K360" s="848"/>
      <c r="L360" s="848"/>
      <c r="M360" s="848"/>
      <c r="N360" s="848"/>
      <c r="O360" s="848"/>
      <c r="P360" s="848"/>
      <c r="Y360" s="849"/>
    </row>
    <row r="361" spans="5:25">
      <c r="E361" s="848"/>
      <c r="F361" s="848"/>
      <c r="G361" s="848"/>
      <c r="H361" s="848"/>
      <c r="I361" s="848"/>
      <c r="J361" s="848"/>
      <c r="K361" s="848"/>
      <c r="L361" s="848"/>
      <c r="M361" s="848"/>
      <c r="N361" s="848"/>
      <c r="O361" s="848"/>
      <c r="P361" s="848"/>
      <c r="Y361" s="849"/>
    </row>
    <row r="362" spans="5:25">
      <c r="E362" s="848"/>
      <c r="F362" s="848"/>
      <c r="G362" s="848"/>
      <c r="H362" s="848"/>
      <c r="I362" s="848"/>
      <c r="J362" s="848"/>
      <c r="K362" s="848"/>
      <c r="L362" s="848"/>
      <c r="M362" s="848"/>
      <c r="N362" s="848"/>
      <c r="O362" s="848"/>
      <c r="P362" s="848"/>
      <c r="Y362" s="849"/>
    </row>
    <row r="363" spans="5:25">
      <c r="E363" s="848"/>
      <c r="F363" s="848"/>
      <c r="G363" s="848"/>
      <c r="H363" s="848"/>
      <c r="I363" s="848"/>
      <c r="J363" s="848"/>
      <c r="K363" s="848"/>
      <c r="L363" s="848"/>
      <c r="M363" s="848"/>
      <c r="N363" s="848"/>
      <c r="O363" s="848"/>
      <c r="P363" s="848"/>
      <c r="Y363" s="849"/>
    </row>
    <row r="364" spans="5:25">
      <c r="E364" s="848"/>
      <c r="F364" s="848"/>
      <c r="G364" s="848"/>
      <c r="H364" s="848"/>
      <c r="I364" s="848"/>
      <c r="J364" s="848"/>
      <c r="K364" s="848"/>
      <c r="L364" s="848"/>
      <c r="M364" s="848"/>
      <c r="N364" s="848"/>
      <c r="O364" s="848"/>
      <c r="P364" s="848"/>
      <c r="Y364" s="849"/>
    </row>
    <row r="365" spans="5:25">
      <c r="E365" s="848"/>
      <c r="F365" s="848"/>
      <c r="G365" s="848"/>
      <c r="H365" s="848"/>
      <c r="I365" s="848"/>
      <c r="J365" s="848"/>
      <c r="K365" s="848"/>
      <c r="L365" s="848"/>
      <c r="M365" s="848"/>
      <c r="N365" s="848"/>
      <c r="O365" s="848"/>
      <c r="P365" s="848"/>
      <c r="Y365" s="849"/>
    </row>
    <row r="366" spans="5:25">
      <c r="E366" s="848"/>
      <c r="F366" s="848"/>
      <c r="G366" s="848"/>
      <c r="H366" s="848"/>
      <c r="I366" s="848"/>
      <c r="J366" s="848"/>
      <c r="K366" s="848"/>
      <c r="L366" s="848"/>
      <c r="M366" s="848"/>
      <c r="N366" s="848"/>
      <c r="O366" s="848"/>
      <c r="P366" s="848"/>
      <c r="Y366" s="849"/>
    </row>
    <row r="367" spans="5:25">
      <c r="E367" s="848"/>
      <c r="F367" s="848"/>
      <c r="G367" s="848"/>
      <c r="H367" s="848"/>
      <c r="I367" s="848"/>
      <c r="J367" s="848"/>
      <c r="K367" s="848"/>
      <c r="L367" s="848"/>
      <c r="M367" s="848"/>
      <c r="N367" s="848"/>
      <c r="O367" s="848"/>
      <c r="P367" s="848"/>
      <c r="Y367" s="849"/>
    </row>
    <row r="368" spans="5:25">
      <c r="E368" s="848"/>
      <c r="F368" s="848"/>
      <c r="G368" s="848"/>
      <c r="H368" s="848"/>
      <c r="I368" s="848"/>
      <c r="J368" s="848"/>
      <c r="K368" s="848"/>
      <c r="L368" s="848"/>
      <c r="M368" s="848"/>
      <c r="N368" s="848"/>
      <c r="O368" s="848"/>
      <c r="P368" s="848"/>
      <c r="Y368" s="849"/>
    </row>
    <row r="369" spans="5:25">
      <c r="E369" s="848"/>
      <c r="F369" s="848"/>
      <c r="G369" s="848"/>
      <c r="H369" s="848"/>
      <c r="I369" s="848"/>
      <c r="J369" s="848"/>
      <c r="K369" s="848"/>
      <c r="L369" s="848"/>
      <c r="M369" s="848"/>
      <c r="N369" s="848"/>
      <c r="O369" s="848"/>
      <c r="P369" s="848"/>
      <c r="Y369" s="849"/>
    </row>
    <row r="370" spans="5:25">
      <c r="E370" s="848"/>
      <c r="F370" s="848"/>
      <c r="G370" s="848"/>
      <c r="H370" s="848"/>
      <c r="I370" s="848"/>
      <c r="J370" s="848"/>
      <c r="K370" s="848"/>
      <c r="L370" s="848"/>
      <c r="M370" s="848"/>
      <c r="N370" s="848"/>
      <c r="O370" s="848"/>
      <c r="P370" s="848"/>
      <c r="Y370" s="849"/>
    </row>
    <row r="371" spans="5:25">
      <c r="E371" s="848"/>
      <c r="F371" s="848"/>
      <c r="G371" s="848"/>
      <c r="H371" s="848"/>
      <c r="I371" s="848"/>
      <c r="J371" s="848"/>
      <c r="K371" s="848"/>
      <c r="L371" s="848"/>
      <c r="M371" s="848"/>
      <c r="N371" s="848"/>
      <c r="O371" s="848"/>
      <c r="P371" s="848"/>
      <c r="Y371" s="849"/>
    </row>
    <row r="372" spans="5:25">
      <c r="E372" s="848"/>
      <c r="F372" s="848"/>
      <c r="G372" s="848"/>
      <c r="H372" s="848"/>
      <c r="I372" s="848"/>
      <c r="J372" s="848"/>
      <c r="K372" s="848"/>
      <c r="L372" s="848"/>
      <c r="M372" s="848"/>
      <c r="N372" s="848"/>
      <c r="O372" s="848"/>
      <c r="P372" s="848"/>
      <c r="Y372" s="849"/>
    </row>
    <row r="373" spans="5:25">
      <c r="E373" s="848"/>
      <c r="F373" s="848"/>
      <c r="G373" s="848"/>
      <c r="H373" s="848"/>
      <c r="I373" s="848"/>
      <c r="J373" s="848"/>
      <c r="K373" s="848"/>
      <c r="L373" s="848"/>
      <c r="M373" s="848"/>
      <c r="N373" s="848"/>
      <c r="O373" s="848"/>
      <c r="P373" s="848"/>
      <c r="Y373" s="849"/>
    </row>
    <row r="374" spans="5:25">
      <c r="E374" s="848"/>
      <c r="F374" s="848"/>
      <c r="G374" s="848"/>
      <c r="H374" s="848"/>
      <c r="I374" s="848"/>
      <c r="J374" s="848"/>
      <c r="K374" s="848"/>
      <c r="L374" s="848"/>
      <c r="M374" s="848"/>
      <c r="N374" s="848"/>
      <c r="O374" s="848"/>
      <c r="P374" s="848"/>
      <c r="Y374" s="849"/>
    </row>
    <row r="375" spans="5:25">
      <c r="E375" s="848"/>
      <c r="F375" s="848"/>
      <c r="G375" s="848"/>
      <c r="H375" s="848"/>
      <c r="I375" s="848"/>
      <c r="J375" s="848"/>
      <c r="K375" s="848"/>
      <c r="L375" s="848"/>
      <c r="M375" s="848"/>
      <c r="N375" s="848"/>
      <c r="O375" s="848"/>
      <c r="P375" s="848"/>
      <c r="Y375" s="849"/>
    </row>
    <row r="376" spans="5:25">
      <c r="E376" s="848"/>
      <c r="F376" s="848"/>
      <c r="G376" s="848"/>
      <c r="H376" s="848"/>
      <c r="I376" s="848"/>
      <c r="J376" s="848"/>
      <c r="K376" s="848"/>
      <c r="L376" s="848"/>
      <c r="M376" s="848"/>
      <c r="N376" s="848"/>
      <c r="O376" s="848"/>
      <c r="P376" s="848"/>
      <c r="Y376" s="849"/>
    </row>
    <row r="377" spans="5:25">
      <c r="E377" s="848"/>
      <c r="F377" s="848"/>
      <c r="G377" s="848"/>
      <c r="H377" s="848"/>
      <c r="I377" s="848"/>
      <c r="J377" s="848"/>
      <c r="K377" s="848"/>
      <c r="L377" s="848"/>
      <c r="M377" s="848"/>
      <c r="N377" s="848"/>
      <c r="O377" s="848"/>
      <c r="P377" s="848"/>
      <c r="Y377" s="849"/>
    </row>
    <row r="378" spans="5:25">
      <c r="E378" s="848"/>
      <c r="F378" s="848"/>
      <c r="G378" s="848"/>
      <c r="H378" s="848"/>
      <c r="I378" s="848"/>
      <c r="J378" s="848"/>
      <c r="K378" s="848"/>
      <c r="L378" s="848"/>
      <c r="M378" s="848"/>
      <c r="N378" s="848"/>
      <c r="O378" s="848"/>
      <c r="P378" s="848"/>
      <c r="Y378" s="849"/>
    </row>
    <row r="379" spans="5:25">
      <c r="E379" s="848"/>
      <c r="F379" s="848"/>
      <c r="G379" s="848"/>
      <c r="H379" s="848"/>
      <c r="I379" s="848"/>
      <c r="J379" s="848"/>
      <c r="K379" s="848"/>
      <c r="L379" s="848"/>
      <c r="M379" s="848"/>
      <c r="N379" s="848"/>
      <c r="O379" s="848"/>
      <c r="P379" s="848"/>
      <c r="Y379" s="849"/>
    </row>
    <row r="380" spans="5:25">
      <c r="E380" s="848"/>
      <c r="F380" s="848"/>
      <c r="G380" s="848"/>
      <c r="H380" s="848"/>
      <c r="I380" s="848"/>
      <c r="J380" s="848"/>
      <c r="K380" s="848"/>
      <c r="L380" s="848"/>
      <c r="M380" s="848"/>
      <c r="N380" s="848"/>
      <c r="O380" s="848"/>
      <c r="P380" s="848"/>
      <c r="Y380" s="849"/>
    </row>
    <row r="381" spans="5:25">
      <c r="E381" s="848"/>
      <c r="F381" s="848"/>
      <c r="G381" s="848"/>
      <c r="H381" s="848"/>
      <c r="I381" s="848"/>
      <c r="J381" s="848"/>
      <c r="K381" s="848"/>
      <c r="L381" s="848"/>
      <c r="M381" s="848"/>
      <c r="N381" s="848"/>
      <c r="O381" s="848"/>
      <c r="P381" s="848"/>
      <c r="Y381" s="849"/>
    </row>
    <row r="382" spans="5:25">
      <c r="E382" s="848"/>
      <c r="F382" s="848"/>
      <c r="G382" s="848"/>
      <c r="H382" s="848"/>
      <c r="I382" s="848"/>
      <c r="J382" s="848"/>
      <c r="K382" s="848"/>
      <c r="L382" s="848"/>
      <c r="M382" s="848"/>
      <c r="N382" s="848"/>
      <c r="O382" s="848"/>
      <c r="P382" s="848"/>
      <c r="Y382" s="849"/>
    </row>
    <row r="383" spans="5:25">
      <c r="E383" s="848"/>
      <c r="F383" s="848"/>
      <c r="G383" s="848"/>
      <c r="H383" s="848"/>
      <c r="I383" s="848"/>
      <c r="J383" s="848"/>
      <c r="K383" s="848"/>
      <c r="L383" s="848"/>
      <c r="M383" s="848"/>
      <c r="N383" s="848"/>
      <c r="O383" s="848"/>
      <c r="P383" s="848"/>
      <c r="Y383" s="849"/>
    </row>
    <row r="384" spans="5:25">
      <c r="E384" s="848"/>
      <c r="F384" s="848"/>
      <c r="G384" s="848"/>
      <c r="H384" s="848"/>
      <c r="I384" s="848"/>
      <c r="J384" s="848"/>
      <c r="K384" s="848"/>
      <c r="L384" s="848"/>
      <c r="M384" s="848"/>
      <c r="N384" s="848"/>
      <c r="O384" s="848"/>
      <c r="P384" s="848"/>
      <c r="Y384" s="849"/>
    </row>
    <row r="385" spans="5:25">
      <c r="E385" s="848"/>
      <c r="F385" s="848"/>
      <c r="G385" s="848"/>
      <c r="H385" s="848"/>
      <c r="I385" s="848"/>
      <c r="J385" s="848"/>
      <c r="K385" s="848"/>
      <c r="L385" s="848"/>
      <c r="M385" s="848"/>
      <c r="N385" s="848"/>
      <c r="O385" s="848"/>
      <c r="P385" s="848"/>
      <c r="Y385" s="849"/>
    </row>
    <row r="386" spans="5:25">
      <c r="E386" s="848"/>
      <c r="F386" s="848"/>
      <c r="G386" s="848"/>
      <c r="H386" s="848"/>
      <c r="I386" s="848"/>
      <c r="J386" s="848"/>
      <c r="K386" s="848"/>
      <c r="L386" s="848"/>
      <c r="M386" s="848"/>
      <c r="N386" s="848"/>
      <c r="O386" s="848"/>
      <c r="P386" s="848"/>
      <c r="Y386" s="849"/>
    </row>
    <row r="387" spans="5:25">
      <c r="E387" s="848"/>
      <c r="F387" s="848"/>
      <c r="G387" s="848"/>
      <c r="H387" s="848"/>
      <c r="I387" s="848"/>
      <c r="J387" s="848"/>
      <c r="K387" s="848"/>
      <c r="L387" s="848"/>
      <c r="M387" s="848"/>
      <c r="N387" s="848"/>
      <c r="O387" s="848"/>
      <c r="P387" s="848"/>
      <c r="Y387" s="849"/>
    </row>
    <row r="388" spans="5:25">
      <c r="E388" s="848"/>
      <c r="F388" s="848"/>
      <c r="G388" s="848"/>
      <c r="H388" s="848"/>
      <c r="I388" s="848"/>
      <c r="J388" s="848"/>
      <c r="K388" s="848"/>
      <c r="L388" s="848"/>
      <c r="M388" s="848"/>
      <c r="N388" s="848"/>
      <c r="O388" s="848"/>
      <c r="P388" s="848"/>
      <c r="Y388" s="849"/>
    </row>
    <row r="389" spans="5:25">
      <c r="E389" s="848"/>
      <c r="F389" s="848"/>
      <c r="G389" s="848"/>
      <c r="H389" s="848"/>
      <c r="I389" s="848"/>
      <c r="J389" s="848"/>
      <c r="K389" s="848"/>
      <c r="L389" s="848"/>
      <c r="M389" s="848"/>
      <c r="N389" s="848"/>
      <c r="O389" s="848"/>
      <c r="P389" s="848"/>
      <c r="Y389" s="849"/>
    </row>
    <row r="390" spans="5:25">
      <c r="E390" s="848"/>
      <c r="F390" s="848"/>
      <c r="G390" s="848"/>
      <c r="H390" s="848"/>
      <c r="I390" s="848"/>
      <c r="J390" s="848"/>
      <c r="K390" s="848"/>
      <c r="L390" s="848"/>
      <c r="M390" s="848"/>
      <c r="N390" s="848"/>
      <c r="O390" s="848"/>
      <c r="P390" s="848"/>
      <c r="Y390" s="849"/>
    </row>
    <row r="391" spans="5:25">
      <c r="E391" s="848"/>
      <c r="F391" s="848"/>
      <c r="G391" s="848"/>
      <c r="H391" s="848"/>
      <c r="I391" s="848"/>
      <c r="J391" s="848"/>
      <c r="K391" s="848"/>
      <c r="L391" s="848"/>
      <c r="M391" s="848"/>
      <c r="N391" s="848"/>
      <c r="O391" s="848"/>
      <c r="P391" s="848"/>
      <c r="Y391" s="849"/>
    </row>
    <row r="392" spans="5:25">
      <c r="E392" s="848"/>
      <c r="F392" s="848"/>
      <c r="G392" s="848"/>
      <c r="H392" s="848"/>
      <c r="I392" s="848"/>
      <c r="J392" s="848"/>
      <c r="K392" s="848"/>
      <c r="L392" s="848"/>
      <c r="M392" s="848"/>
      <c r="N392" s="848"/>
      <c r="O392" s="848"/>
      <c r="P392" s="848"/>
      <c r="Y392" s="849"/>
    </row>
    <row r="393" spans="5:25">
      <c r="E393" s="848"/>
      <c r="F393" s="848"/>
      <c r="G393" s="848"/>
      <c r="H393" s="848"/>
      <c r="I393" s="848"/>
      <c r="J393" s="848"/>
      <c r="K393" s="848"/>
      <c r="L393" s="848"/>
      <c r="M393" s="848"/>
      <c r="N393" s="848"/>
      <c r="O393" s="848"/>
      <c r="P393" s="848"/>
      <c r="Y393" s="849"/>
    </row>
    <row r="394" spans="5:25">
      <c r="E394" s="848"/>
      <c r="F394" s="848"/>
      <c r="G394" s="848"/>
      <c r="H394" s="848"/>
      <c r="I394" s="848"/>
      <c r="J394" s="848"/>
      <c r="K394" s="848"/>
      <c r="L394" s="848"/>
      <c r="M394" s="848"/>
      <c r="N394" s="848"/>
      <c r="O394" s="848"/>
      <c r="P394" s="848"/>
      <c r="Y394" s="849"/>
    </row>
    <row r="395" spans="5:25">
      <c r="E395" s="848"/>
      <c r="F395" s="848"/>
      <c r="G395" s="848"/>
      <c r="H395" s="848"/>
      <c r="I395" s="848"/>
      <c r="J395" s="848"/>
      <c r="K395" s="848"/>
      <c r="L395" s="848"/>
      <c r="M395" s="848"/>
      <c r="N395" s="848"/>
      <c r="O395" s="848"/>
      <c r="P395" s="848"/>
      <c r="Y395" s="849"/>
    </row>
    <row r="396" spans="5:25">
      <c r="E396" s="848"/>
      <c r="F396" s="848"/>
      <c r="G396" s="848"/>
      <c r="H396" s="848"/>
      <c r="I396" s="848"/>
      <c r="J396" s="848"/>
      <c r="K396" s="848"/>
      <c r="L396" s="848"/>
      <c r="M396" s="848"/>
      <c r="N396" s="848"/>
      <c r="O396" s="848"/>
      <c r="P396" s="848"/>
      <c r="Y396" s="849"/>
    </row>
    <row r="397" spans="5:25">
      <c r="E397" s="848"/>
      <c r="F397" s="848"/>
      <c r="G397" s="848"/>
      <c r="H397" s="848"/>
      <c r="I397" s="848"/>
      <c r="J397" s="848"/>
      <c r="K397" s="848"/>
      <c r="L397" s="848"/>
      <c r="M397" s="848"/>
      <c r="N397" s="848"/>
      <c r="O397" s="848"/>
      <c r="P397" s="848"/>
      <c r="Y397" s="849"/>
    </row>
    <row r="398" spans="5:25">
      <c r="E398" s="848"/>
      <c r="F398" s="848"/>
      <c r="G398" s="848"/>
      <c r="H398" s="848"/>
      <c r="I398" s="848"/>
      <c r="J398" s="848"/>
      <c r="K398" s="848"/>
      <c r="L398" s="848"/>
      <c r="M398" s="848"/>
      <c r="N398" s="848"/>
      <c r="O398" s="848"/>
      <c r="P398" s="848"/>
      <c r="Y398" s="849"/>
    </row>
    <row r="399" spans="5:25">
      <c r="E399" s="848"/>
      <c r="F399" s="848"/>
      <c r="G399" s="848"/>
      <c r="H399" s="848"/>
      <c r="I399" s="848"/>
      <c r="J399" s="848"/>
      <c r="K399" s="848"/>
      <c r="L399" s="848"/>
      <c r="M399" s="848"/>
      <c r="N399" s="848"/>
      <c r="O399" s="848"/>
      <c r="P399" s="848"/>
      <c r="Y399" s="849"/>
    </row>
    <row r="400" spans="5:25">
      <c r="E400" s="848"/>
      <c r="F400" s="848"/>
      <c r="G400" s="848"/>
      <c r="H400" s="848"/>
      <c r="I400" s="848"/>
      <c r="J400" s="848"/>
      <c r="K400" s="848"/>
      <c r="L400" s="848"/>
      <c r="M400" s="848"/>
      <c r="N400" s="848"/>
      <c r="O400" s="848"/>
      <c r="P400" s="848"/>
      <c r="Y400" s="849"/>
    </row>
    <row r="401" spans="5:25">
      <c r="E401" s="848"/>
      <c r="F401" s="848"/>
      <c r="G401" s="848"/>
      <c r="H401" s="848"/>
      <c r="I401" s="848"/>
      <c r="J401" s="848"/>
      <c r="K401" s="848"/>
      <c r="L401" s="848"/>
      <c r="M401" s="848"/>
      <c r="N401" s="848"/>
      <c r="O401" s="848"/>
      <c r="P401" s="848"/>
      <c r="Y401" s="849"/>
    </row>
    <row r="402" spans="5:25">
      <c r="E402" s="848"/>
      <c r="F402" s="848"/>
      <c r="G402" s="848"/>
      <c r="H402" s="848"/>
      <c r="I402" s="848"/>
      <c r="J402" s="848"/>
      <c r="K402" s="848"/>
      <c r="L402" s="848"/>
      <c r="M402" s="848"/>
      <c r="N402" s="848"/>
      <c r="O402" s="848"/>
      <c r="P402" s="848"/>
      <c r="Y402" s="849"/>
    </row>
    <row r="403" spans="5:25">
      <c r="E403" s="848"/>
      <c r="F403" s="848"/>
      <c r="G403" s="848"/>
      <c r="H403" s="848"/>
      <c r="I403" s="848"/>
      <c r="J403" s="848"/>
      <c r="K403" s="848"/>
      <c r="L403" s="848"/>
      <c r="M403" s="848"/>
      <c r="N403" s="848"/>
      <c r="O403" s="848"/>
      <c r="P403" s="848"/>
      <c r="Y403" s="849"/>
    </row>
    <row r="404" spans="5:25">
      <c r="E404" s="848"/>
      <c r="F404" s="848"/>
      <c r="G404" s="848"/>
      <c r="H404" s="848"/>
      <c r="I404" s="848"/>
      <c r="J404" s="848"/>
      <c r="K404" s="848"/>
      <c r="L404" s="848"/>
      <c r="M404" s="848"/>
      <c r="N404" s="848"/>
      <c r="O404" s="848"/>
      <c r="P404" s="848"/>
      <c r="Y404" s="849"/>
    </row>
    <row r="405" spans="5:25">
      <c r="E405" s="848"/>
      <c r="F405" s="848"/>
      <c r="G405" s="848"/>
      <c r="H405" s="848"/>
      <c r="I405" s="848"/>
      <c r="J405" s="848"/>
      <c r="K405" s="848"/>
      <c r="L405" s="848"/>
      <c r="M405" s="848"/>
      <c r="N405" s="848"/>
      <c r="O405" s="848"/>
      <c r="P405" s="848"/>
      <c r="Y405" s="849"/>
    </row>
    <row r="406" spans="5:25">
      <c r="E406" s="848"/>
      <c r="F406" s="848"/>
      <c r="G406" s="848"/>
      <c r="H406" s="848"/>
      <c r="I406" s="848"/>
      <c r="J406" s="848"/>
      <c r="K406" s="848"/>
      <c r="L406" s="848"/>
      <c r="M406" s="848"/>
      <c r="N406" s="848"/>
      <c r="O406" s="848"/>
      <c r="P406" s="848"/>
      <c r="Y406" s="849"/>
    </row>
    <row r="407" spans="5:25">
      <c r="E407" s="848"/>
      <c r="F407" s="848"/>
      <c r="G407" s="848"/>
      <c r="H407" s="848"/>
      <c r="I407" s="848"/>
      <c r="J407" s="848"/>
      <c r="K407" s="848"/>
      <c r="L407" s="848"/>
      <c r="M407" s="848"/>
      <c r="N407" s="848"/>
      <c r="O407" s="848"/>
      <c r="P407" s="848"/>
      <c r="Y407" s="849"/>
    </row>
    <row r="408" spans="5:25">
      <c r="E408" s="848"/>
      <c r="F408" s="848"/>
      <c r="G408" s="848"/>
      <c r="H408" s="848"/>
      <c r="I408" s="848"/>
      <c r="J408" s="848"/>
      <c r="K408" s="848"/>
      <c r="L408" s="848"/>
      <c r="M408" s="848"/>
      <c r="N408" s="848"/>
      <c r="O408" s="848"/>
      <c r="P408" s="848"/>
      <c r="Y408" s="849"/>
    </row>
    <row r="409" spans="5:25">
      <c r="E409" s="848"/>
      <c r="F409" s="848"/>
      <c r="G409" s="848"/>
      <c r="H409" s="848"/>
      <c r="I409" s="848"/>
      <c r="J409" s="848"/>
      <c r="K409" s="848"/>
      <c r="L409" s="848"/>
      <c r="M409" s="848"/>
      <c r="N409" s="848"/>
      <c r="O409" s="848"/>
      <c r="P409" s="848"/>
      <c r="Y409" s="849"/>
    </row>
    <row r="410" spans="5:25">
      <c r="E410" s="848"/>
      <c r="F410" s="848"/>
      <c r="G410" s="848"/>
      <c r="H410" s="848"/>
      <c r="I410" s="848"/>
      <c r="J410" s="848"/>
      <c r="K410" s="848"/>
      <c r="L410" s="848"/>
      <c r="M410" s="848"/>
      <c r="N410" s="848"/>
      <c r="O410" s="848"/>
      <c r="P410" s="848"/>
      <c r="Y410" s="849"/>
    </row>
    <row r="411" spans="5:25">
      <c r="E411" s="848"/>
      <c r="F411" s="848"/>
      <c r="G411" s="848"/>
      <c r="H411" s="848"/>
      <c r="I411" s="848"/>
      <c r="J411" s="848"/>
      <c r="K411" s="848"/>
      <c r="L411" s="848"/>
      <c r="M411" s="848"/>
      <c r="N411" s="848"/>
      <c r="O411" s="848"/>
      <c r="P411" s="848"/>
      <c r="Y411" s="849"/>
    </row>
    <row r="412" spans="5:25">
      <c r="E412" s="848"/>
      <c r="F412" s="848"/>
      <c r="G412" s="848"/>
      <c r="H412" s="848"/>
      <c r="I412" s="848"/>
      <c r="J412" s="848"/>
      <c r="K412" s="848"/>
      <c r="L412" s="848"/>
      <c r="M412" s="848"/>
      <c r="N412" s="848"/>
      <c r="O412" s="848"/>
      <c r="P412" s="848"/>
      <c r="Y412" s="849"/>
    </row>
    <row r="413" spans="5:25">
      <c r="E413" s="848"/>
      <c r="F413" s="848"/>
      <c r="G413" s="848"/>
      <c r="H413" s="848"/>
      <c r="I413" s="848"/>
      <c r="J413" s="848"/>
      <c r="K413" s="848"/>
      <c r="L413" s="848"/>
      <c r="M413" s="848"/>
      <c r="N413" s="848"/>
      <c r="O413" s="848"/>
      <c r="P413" s="848"/>
      <c r="Y413" s="849"/>
    </row>
    <row r="414" spans="5:25">
      <c r="E414" s="848"/>
      <c r="F414" s="848"/>
      <c r="G414" s="848"/>
      <c r="H414" s="848"/>
      <c r="I414" s="848"/>
      <c r="J414" s="848"/>
      <c r="K414" s="848"/>
      <c r="L414" s="848"/>
      <c r="M414" s="848"/>
      <c r="N414" s="848"/>
      <c r="O414" s="848"/>
      <c r="P414" s="848"/>
      <c r="Y414" s="849"/>
    </row>
    <row r="415" spans="5:25">
      <c r="E415" s="848"/>
      <c r="F415" s="848"/>
      <c r="G415" s="848"/>
      <c r="H415" s="848"/>
      <c r="I415" s="848"/>
      <c r="J415" s="848"/>
      <c r="K415" s="848"/>
      <c r="L415" s="848"/>
      <c r="M415" s="848"/>
      <c r="N415" s="848"/>
      <c r="O415" s="848"/>
      <c r="P415" s="848"/>
      <c r="Y415" s="849"/>
    </row>
    <row r="416" spans="5:25">
      <c r="E416" s="848"/>
      <c r="F416" s="848"/>
      <c r="G416" s="848"/>
      <c r="H416" s="848"/>
      <c r="I416" s="848"/>
      <c r="J416" s="848"/>
      <c r="K416" s="848"/>
      <c r="L416" s="848"/>
      <c r="M416" s="848"/>
      <c r="N416" s="848"/>
      <c r="O416" s="848"/>
      <c r="P416" s="848"/>
      <c r="Y416" s="849"/>
    </row>
    <row r="417" spans="5:25">
      <c r="E417" s="848"/>
      <c r="F417" s="848"/>
      <c r="G417" s="848"/>
      <c r="H417" s="848"/>
      <c r="I417" s="848"/>
      <c r="J417" s="848"/>
      <c r="K417" s="848"/>
      <c r="L417" s="848"/>
      <c r="M417" s="848"/>
      <c r="N417" s="848"/>
      <c r="O417" s="848"/>
      <c r="P417" s="848"/>
      <c r="Y417" s="849"/>
    </row>
    <row r="418" spans="5:25">
      <c r="E418" s="848"/>
      <c r="F418" s="848"/>
      <c r="G418" s="848"/>
      <c r="H418" s="848"/>
      <c r="I418" s="848"/>
      <c r="J418" s="848"/>
      <c r="K418" s="848"/>
      <c r="L418" s="848"/>
      <c r="M418" s="848"/>
      <c r="N418" s="848"/>
      <c r="O418" s="848"/>
      <c r="P418" s="848"/>
      <c r="Y418" s="849"/>
    </row>
    <row r="419" spans="5:25">
      <c r="E419" s="848"/>
      <c r="F419" s="848"/>
      <c r="G419" s="848"/>
      <c r="H419" s="848"/>
      <c r="I419" s="848"/>
      <c r="J419" s="848"/>
      <c r="K419" s="848"/>
      <c r="L419" s="848"/>
      <c r="M419" s="848"/>
      <c r="N419" s="848"/>
      <c r="O419" s="848"/>
      <c r="P419" s="848"/>
      <c r="Y419" s="849"/>
    </row>
    <row r="420" spans="5:25">
      <c r="E420" s="848"/>
      <c r="F420" s="848"/>
      <c r="G420" s="848"/>
      <c r="H420" s="848"/>
      <c r="I420" s="848"/>
      <c r="J420" s="848"/>
      <c r="K420" s="848"/>
      <c r="L420" s="848"/>
      <c r="M420" s="848"/>
      <c r="N420" s="848"/>
      <c r="O420" s="848"/>
      <c r="P420" s="848"/>
      <c r="Y420" s="849"/>
    </row>
    <row r="421" spans="5:25">
      <c r="E421" s="848"/>
      <c r="F421" s="848"/>
      <c r="G421" s="848"/>
      <c r="H421" s="848"/>
      <c r="I421" s="848"/>
      <c r="J421" s="848"/>
      <c r="K421" s="848"/>
      <c r="L421" s="848"/>
      <c r="M421" s="848"/>
      <c r="N421" s="848"/>
      <c r="O421" s="848"/>
      <c r="P421" s="848"/>
      <c r="Y421" s="849"/>
    </row>
    <row r="422" spans="5:25">
      <c r="E422" s="848"/>
      <c r="F422" s="848"/>
      <c r="G422" s="848"/>
      <c r="H422" s="848"/>
      <c r="I422" s="848"/>
      <c r="J422" s="848"/>
      <c r="K422" s="848"/>
      <c r="L422" s="848"/>
      <c r="M422" s="848"/>
      <c r="N422" s="848"/>
      <c r="O422" s="848"/>
      <c r="P422" s="848"/>
      <c r="Y422" s="849"/>
    </row>
    <row r="423" spans="5:25">
      <c r="E423" s="848"/>
      <c r="F423" s="848"/>
      <c r="G423" s="848"/>
      <c r="H423" s="848"/>
      <c r="I423" s="848"/>
      <c r="J423" s="848"/>
      <c r="K423" s="848"/>
      <c r="L423" s="848"/>
      <c r="M423" s="848"/>
      <c r="N423" s="848"/>
      <c r="O423" s="848"/>
      <c r="P423" s="848"/>
      <c r="Y423" s="849"/>
    </row>
    <row r="424" spans="5:25">
      <c r="E424" s="848"/>
      <c r="F424" s="848"/>
      <c r="G424" s="848"/>
      <c r="H424" s="848"/>
      <c r="I424" s="848"/>
      <c r="J424" s="848"/>
      <c r="K424" s="848"/>
      <c r="L424" s="848"/>
      <c r="M424" s="848"/>
      <c r="N424" s="848"/>
      <c r="O424" s="848"/>
      <c r="P424" s="848"/>
      <c r="Y424" s="849"/>
    </row>
    <row r="425" spans="5:25">
      <c r="E425" s="848"/>
      <c r="F425" s="848"/>
      <c r="G425" s="848"/>
      <c r="H425" s="848"/>
      <c r="I425" s="848"/>
      <c r="J425" s="848"/>
      <c r="K425" s="848"/>
      <c r="L425" s="848"/>
      <c r="M425" s="848"/>
      <c r="N425" s="848"/>
      <c r="O425" s="848"/>
      <c r="P425" s="848"/>
      <c r="Y425" s="849"/>
    </row>
    <row r="426" spans="5:25">
      <c r="E426" s="848"/>
      <c r="F426" s="848"/>
      <c r="G426" s="848"/>
      <c r="H426" s="848"/>
      <c r="I426" s="848"/>
      <c r="J426" s="848"/>
      <c r="K426" s="848"/>
      <c r="L426" s="848"/>
      <c r="M426" s="848"/>
      <c r="N426" s="848"/>
      <c r="O426" s="848"/>
      <c r="P426" s="848"/>
      <c r="Y426" s="849"/>
    </row>
    <row r="427" spans="5:25">
      <c r="E427" s="848"/>
      <c r="F427" s="848"/>
      <c r="G427" s="848"/>
      <c r="H427" s="848"/>
      <c r="I427" s="848"/>
      <c r="J427" s="848"/>
      <c r="K427" s="848"/>
      <c r="L427" s="848"/>
      <c r="M427" s="848"/>
      <c r="N427" s="848"/>
      <c r="O427" s="848"/>
      <c r="P427" s="848"/>
      <c r="Y427" s="849"/>
    </row>
    <row r="428" spans="5:25">
      <c r="E428" s="848"/>
      <c r="F428" s="848"/>
      <c r="G428" s="848"/>
      <c r="H428" s="848"/>
      <c r="I428" s="848"/>
      <c r="J428" s="848"/>
      <c r="K428" s="848"/>
      <c r="L428" s="848"/>
      <c r="M428" s="848"/>
      <c r="N428" s="848"/>
      <c r="O428" s="848"/>
      <c r="P428" s="848"/>
      <c r="Y428" s="849"/>
    </row>
    <row r="429" spans="5:25">
      <c r="E429" s="848"/>
      <c r="F429" s="848"/>
      <c r="G429" s="848"/>
      <c r="H429" s="848"/>
      <c r="I429" s="848"/>
      <c r="J429" s="848"/>
      <c r="K429" s="848"/>
      <c r="L429" s="848"/>
      <c r="M429" s="848"/>
      <c r="N429" s="848"/>
      <c r="O429" s="848"/>
      <c r="P429" s="848"/>
      <c r="Y429" s="849"/>
    </row>
    <row r="430" spans="5:25">
      <c r="E430" s="848"/>
      <c r="F430" s="848"/>
      <c r="G430" s="848"/>
      <c r="H430" s="848"/>
      <c r="I430" s="848"/>
      <c r="J430" s="848"/>
      <c r="K430" s="848"/>
      <c r="L430" s="848"/>
      <c r="M430" s="848"/>
      <c r="N430" s="848"/>
      <c r="O430" s="848"/>
      <c r="P430" s="848"/>
      <c r="Y430" s="849"/>
    </row>
    <row r="431" spans="5:25">
      <c r="E431" s="848"/>
      <c r="F431" s="848"/>
      <c r="G431" s="848"/>
      <c r="H431" s="848"/>
      <c r="I431" s="848"/>
      <c r="J431" s="848"/>
      <c r="K431" s="848"/>
      <c r="L431" s="848"/>
      <c r="M431" s="848"/>
      <c r="N431" s="848"/>
      <c r="O431" s="848"/>
      <c r="P431" s="848"/>
      <c r="Y431" s="849"/>
    </row>
    <row r="432" spans="5:25">
      <c r="E432" s="848"/>
      <c r="F432" s="848"/>
      <c r="G432" s="848"/>
      <c r="H432" s="848"/>
      <c r="I432" s="848"/>
      <c r="J432" s="848"/>
      <c r="K432" s="848"/>
      <c r="L432" s="848"/>
      <c r="M432" s="848"/>
      <c r="N432" s="848"/>
      <c r="O432" s="848"/>
      <c r="P432" s="848"/>
      <c r="Y432" s="849"/>
    </row>
    <row r="433" spans="5:25">
      <c r="E433" s="848"/>
      <c r="F433" s="848"/>
      <c r="G433" s="848"/>
      <c r="H433" s="848"/>
      <c r="I433" s="848"/>
      <c r="J433" s="848"/>
      <c r="K433" s="848"/>
      <c r="L433" s="848"/>
      <c r="M433" s="848"/>
      <c r="N433" s="848"/>
      <c r="O433" s="848"/>
      <c r="P433" s="848"/>
      <c r="Y433" s="849"/>
    </row>
    <row r="434" spans="5:25">
      <c r="E434" s="848"/>
      <c r="F434" s="848"/>
      <c r="G434" s="848"/>
      <c r="H434" s="848"/>
      <c r="I434" s="848"/>
      <c r="J434" s="848"/>
      <c r="K434" s="848"/>
      <c r="L434" s="848"/>
      <c r="M434" s="848"/>
      <c r="N434" s="848"/>
      <c r="O434" s="848"/>
      <c r="P434" s="848"/>
      <c r="Y434" s="849"/>
    </row>
    <row r="435" spans="5:25">
      <c r="E435" s="848"/>
      <c r="F435" s="848"/>
      <c r="G435" s="848"/>
      <c r="H435" s="848"/>
      <c r="I435" s="848"/>
      <c r="J435" s="848"/>
      <c r="K435" s="848"/>
      <c r="L435" s="848"/>
      <c r="M435" s="848"/>
      <c r="N435" s="848"/>
      <c r="O435" s="848"/>
      <c r="P435" s="848"/>
      <c r="Y435" s="849"/>
    </row>
    <row r="436" spans="5:25">
      <c r="E436" s="848"/>
      <c r="F436" s="848"/>
      <c r="G436" s="848"/>
      <c r="H436" s="848"/>
      <c r="I436" s="848"/>
      <c r="J436" s="848"/>
      <c r="K436" s="848"/>
      <c r="L436" s="848"/>
      <c r="M436" s="848"/>
      <c r="N436" s="848"/>
      <c r="O436" s="848"/>
      <c r="P436" s="848"/>
      <c r="Y436" s="849"/>
    </row>
    <row r="437" spans="5:25">
      <c r="E437" s="848"/>
      <c r="F437" s="848"/>
      <c r="G437" s="848"/>
      <c r="H437" s="848"/>
      <c r="I437" s="848"/>
      <c r="J437" s="848"/>
      <c r="K437" s="848"/>
      <c r="L437" s="848"/>
      <c r="M437" s="848"/>
      <c r="N437" s="848"/>
      <c r="O437" s="848"/>
      <c r="P437" s="848"/>
      <c r="Y437" s="849"/>
    </row>
    <row r="438" spans="5:25">
      <c r="E438" s="848"/>
      <c r="F438" s="848"/>
      <c r="G438" s="848"/>
      <c r="H438" s="848"/>
      <c r="I438" s="848"/>
      <c r="J438" s="848"/>
      <c r="K438" s="848"/>
      <c r="L438" s="848"/>
      <c r="M438" s="848"/>
      <c r="N438" s="848"/>
      <c r="O438" s="848"/>
      <c r="P438" s="848"/>
      <c r="Y438" s="849"/>
    </row>
    <row r="439" spans="5:25">
      <c r="E439" s="848"/>
      <c r="F439" s="848"/>
      <c r="G439" s="848"/>
      <c r="H439" s="848"/>
      <c r="I439" s="848"/>
      <c r="J439" s="848"/>
      <c r="K439" s="848"/>
      <c r="L439" s="848"/>
      <c r="M439" s="848"/>
      <c r="N439" s="848"/>
      <c r="O439" s="848"/>
      <c r="P439" s="848"/>
      <c r="Y439" s="849"/>
    </row>
    <row r="440" spans="5:25">
      <c r="E440" s="848"/>
      <c r="F440" s="848"/>
      <c r="G440" s="848"/>
      <c r="H440" s="848"/>
      <c r="I440" s="848"/>
      <c r="J440" s="848"/>
      <c r="K440" s="848"/>
      <c r="L440" s="848"/>
      <c r="M440" s="848"/>
      <c r="N440" s="848"/>
      <c r="O440" s="848"/>
      <c r="P440" s="848"/>
      <c r="Y440" s="849"/>
    </row>
    <row r="441" spans="5:25">
      <c r="E441" s="848"/>
      <c r="F441" s="848"/>
      <c r="G441" s="848"/>
      <c r="H441" s="848"/>
      <c r="I441" s="848"/>
      <c r="J441" s="848"/>
      <c r="K441" s="848"/>
      <c r="L441" s="848"/>
      <c r="M441" s="848"/>
      <c r="N441" s="848"/>
      <c r="O441" s="848"/>
      <c r="P441" s="848"/>
      <c r="Y441" s="849"/>
    </row>
    <row r="442" spans="5:25">
      <c r="E442" s="848"/>
      <c r="F442" s="848"/>
      <c r="G442" s="848"/>
      <c r="H442" s="848"/>
      <c r="I442" s="848"/>
      <c r="J442" s="848"/>
      <c r="K442" s="848"/>
      <c r="L442" s="848"/>
      <c r="M442" s="848"/>
      <c r="N442" s="848"/>
      <c r="O442" s="848"/>
      <c r="P442" s="848"/>
      <c r="Y442" s="849"/>
    </row>
    <row r="443" spans="5:25">
      <c r="E443" s="848"/>
      <c r="F443" s="848"/>
      <c r="G443" s="848"/>
      <c r="H443" s="848"/>
      <c r="I443" s="848"/>
      <c r="J443" s="848"/>
      <c r="K443" s="848"/>
      <c r="L443" s="848"/>
      <c r="M443" s="848"/>
      <c r="N443" s="848"/>
      <c r="O443" s="848"/>
      <c r="P443" s="848"/>
      <c r="Y443" s="849"/>
    </row>
    <row r="444" spans="5:25">
      <c r="E444" s="848"/>
      <c r="F444" s="848"/>
      <c r="G444" s="848"/>
      <c r="H444" s="848"/>
      <c r="I444" s="848"/>
      <c r="J444" s="848"/>
      <c r="K444" s="848"/>
      <c r="L444" s="848"/>
      <c r="M444" s="848"/>
      <c r="N444" s="848"/>
      <c r="O444" s="848"/>
      <c r="P444" s="848"/>
      <c r="Y444" s="849"/>
    </row>
    <row r="445" spans="5:25">
      <c r="E445" s="848"/>
      <c r="F445" s="848"/>
      <c r="G445" s="848"/>
      <c r="H445" s="848"/>
      <c r="I445" s="848"/>
      <c r="J445" s="848"/>
      <c r="K445" s="848"/>
      <c r="L445" s="848"/>
      <c r="M445" s="848"/>
      <c r="N445" s="848"/>
      <c r="O445" s="848"/>
      <c r="P445" s="848"/>
      <c r="Y445" s="849"/>
    </row>
    <row r="446" spans="5:25">
      <c r="E446" s="848"/>
      <c r="F446" s="848"/>
      <c r="G446" s="848"/>
      <c r="H446" s="848"/>
      <c r="I446" s="848"/>
      <c r="J446" s="848"/>
      <c r="K446" s="848"/>
      <c r="L446" s="848"/>
      <c r="M446" s="848"/>
      <c r="N446" s="848"/>
      <c r="O446" s="848"/>
      <c r="P446" s="848"/>
      <c r="Y446" s="849"/>
    </row>
    <row r="447" spans="5:25">
      <c r="E447" s="848"/>
      <c r="F447" s="848"/>
      <c r="G447" s="848"/>
      <c r="H447" s="848"/>
      <c r="I447" s="848"/>
      <c r="J447" s="848"/>
      <c r="K447" s="848"/>
      <c r="L447" s="848"/>
      <c r="M447" s="848"/>
      <c r="N447" s="848"/>
      <c r="O447" s="848"/>
      <c r="P447" s="848"/>
      <c r="Y447" s="849"/>
    </row>
    <row r="448" spans="5:25">
      <c r="E448" s="848"/>
      <c r="F448" s="848"/>
      <c r="G448" s="848"/>
      <c r="H448" s="848"/>
      <c r="I448" s="848"/>
      <c r="J448" s="848"/>
      <c r="K448" s="848"/>
      <c r="L448" s="848"/>
      <c r="M448" s="848"/>
      <c r="N448" s="848"/>
      <c r="O448" s="848"/>
      <c r="P448" s="848"/>
      <c r="Y448" s="849"/>
    </row>
    <row r="449" spans="5:25">
      <c r="E449" s="848"/>
      <c r="F449" s="848"/>
      <c r="G449" s="848"/>
      <c r="H449" s="848"/>
      <c r="I449" s="848"/>
      <c r="J449" s="848"/>
      <c r="K449" s="848"/>
      <c r="L449" s="848"/>
      <c r="M449" s="848"/>
      <c r="N449" s="848"/>
      <c r="O449" s="848"/>
      <c r="P449" s="848"/>
      <c r="Y449" s="849"/>
    </row>
    <row r="450" spans="5:25">
      <c r="E450" s="848"/>
      <c r="F450" s="848"/>
      <c r="G450" s="848"/>
      <c r="H450" s="848"/>
      <c r="I450" s="848"/>
      <c r="J450" s="848"/>
      <c r="K450" s="848"/>
      <c r="L450" s="848"/>
      <c r="M450" s="848"/>
      <c r="N450" s="848"/>
      <c r="O450" s="848"/>
      <c r="P450" s="848"/>
      <c r="Y450" s="849"/>
    </row>
    <row r="451" spans="5:25">
      <c r="E451" s="848"/>
      <c r="F451" s="848"/>
      <c r="G451" s="848"/>
      <c r="H451" s="848"/>
      <c r="I451" s="848"/>
      <c r="J451" s="848"/>
      <c r="K451" s="848"/>
      <c r="L451" s="848"/>
      <c r="M451" s="848"/>
      <c r="N451" s="848"/>
      <c r="O451" s="848"/>
      <c r="P451" s="848"/>
      <c r="Y451" s="849"/>
    </row>
    <row r="452" spans="5:25">
      <c r="E452" s="848"/>
      <c r="F452" s="848"/>
      <c r="G452" s="848"/>
      <c r="H452" s="848"/>
      <c r="I452" s="848"/>
      <c r="J452" s="848"/>
      <c r="K452" s="848"/>
      <c r="L452" s="848"/>
      <c r="M452" s="848"/>
      <c r="N452" s="848"/>
      <c r="O452" s="848"/>
      <c r="P452" s="848"/>
      <c r="Y452" s="849"/>
    </row>
    <row r="453" spans="5:25">
      <c r="E453" s="848"/>
      <c r="F453" s="848"/>
      <c r="G453" s="848"/>
      <c r="H453" s="848"/>
      <c r="I453" s="848"/>
      <c r="J453" s="848"/>
      <c r="K453" s="848"/>
      <c r="L453" s="848"/>
      <c r="M453" s="848"/>
      <c r="N453" s="848"/>
      <c r="O453" s="848"/>
      <c r="P453" s="848"/>
      <c r="Y453" s="849"/>
    </row>
    <row r="454" spans="5:25">
      <c r="E454" s="848"/>
      <c r="F454" s="848"/>
      <c r="G454" s="848"/>
      <c r="H454" s="848"/>
      <c r="I454" s="848"/>
      <c r="J454" s="848"/>
      <c r="K454" s="848"/>
      <c r="L454" s="848"/>
      <c r="M454" s="848"/>
      <c r="N454" s="848"/>
      <c r="O454" s="848"/>
      <c r="P454" s="848"/>
      <c r="Y454" s="849"/>
    </row>
    <row r="455" spans="5:25">
      <c r="E455" s="848"/>
      <c r="F455" s="848"/>
      <c r="G455" s="848"/>
      <c r="H455" s="848"/>
      <c r="I455" s="848"/>
      <c r="J455" s="848"/>
      <c r="K455" s="848"/>
      <c r="L455" s="848"/>
      <c r="M455" s="848"/>
      <c r="N455" s="848"/>
      <c r="O455" s="848"/>
      <c r="P455" s="848"/>
      <c r="Y455" s="849"/>
    </row>
    <row r="456" spans="5:25">
      <c r="E456" s="848"/>
      <c r="F456" s="848"/>
      <c r="G456" s="848"/>
      <c r="H456" s="848"/>
      <c r="I456" s="848"/>
      <c r="J456" s="848"/>
      <c r="K456" s="848"/>
      <c r="L456" s="848"/>
      <c r="M456" s="848"/>
      <c r="N456" s="848"/>
      <c r="O456" s="848"/>
      <c r="P456" s="848"/>
      <c r="Y456" s="849"/>
    </row>
    <row r="457" spans="5:25">
      <c r="E457" s="848"/>
      <c r="F457" s="848"/>
      <c r="G457" s="848"/>
      <c r="H457" s="848"/>
      <c r="I457" s="848"/>
      <c r="J457" s="848"/>
      <c r="K457" s="848"/>
      <c r="L457" s="848"/>
      <c r="M457" s="848"/>
      <c r="N457" s="848"/>
      <c r="O457" s="848"/>
      <c r="P457" s="848"/>
      <c r="Y457" s="849"/>
    </row>
    <row r="458" spans="5:25">
      <c r="E458" s="848"/>
      <c r="F458" s="848"/>
      <c r="G458" s="848"/>
      <c r="H458" s="848"/>
      <c r="I458" s="848"/>
      <c r="J458" s="848"/>
      <c r="K458" s="848"/>
      <c r="L458" s="848"/>
      <c r="M458" s="848"/>
      <c r="N458" s="848"/>
      <c r="O458" s="848"/>
      <c r="P458" s="848"/>
      <c r="Y458" s="849"/>
    </row>
    <row r="459" spans="5:25">
      <c r="E459" s="848"/>
      <c r="F459" s="848"/>
      <c r="G459" s="848"/>
      <c r="H459" s="848"/>
      <c r="I459" s="848"/>
      <c r="J459" s="848"/>
      <c r="K459" s="848"/>
      <c r="L459" s="848"/>
      <c r="M459" s="848"/>
      <c r="N459" s="848"/>
      <c r="O459" s="848"/>
      <c r="P459" s="848"/>
      <c r="Y459" s="849"/>
    </row>
    <row r="460" spans="5:25">
      <c r="E460" s="848"/>
      <c r="F460" s="848"/>
      <c r="G460" s="848"/>
      <c r="H460" s="848"/>
      <c r="I460" s="848"/>
      <c r="J460" s="848"/>
      <c r="K460" s="848"/>
      <c r="L460" s="848"/>
      <c r="M460" s="848"/>
      <c r="N460" s="848"/>
      <c r="O460" s="848"/>
      <c r="P460" s="848"/>
      <c r="Y460" s="849"/>
    </row>
    <row r="461" spans="5:25">
      <c r="E461" s="848"/>
      <c r="F461" s="848"/>
      <c r="G461" s="848"/>
      <c r="H461" s="848"/>
      <c r="I461" s="848"/>
      <c r="J461" s="848"/>
      <c r="K461" s="848"/>
      <c r="L461" s="848"/>
      <c r="M461" s="848"/>
      <c r="N461" s="848"/>
      <c r="O461" s="848"/>
      <c r="P461" s="848"/>
      <c r="Y461" s="849"/>
    </row>
    <row r="462" spans="5:25">
      <c r="E462" s="848"/>
      <c r="F462" s="848"/>
      <c r="G462" s="848"/>
      <c r="H462" s="848"/>
      <c r="I462" s="848"/>
      <c r="J462" s="848"/>
      <c r="K462" s="848"/>
      <c r="L462" s="848"/>
      <c r="M462" s="848"/>
      <c r="N462" s="848"/>
      <c r="O462" s="848"/>
      <c r="P462" s="848"/>
      <c r="Y462" s="849"/>
    </row>
    <row r="463" spans="5:25">
      <c r="E463" s="848"/>
      <c r="F463" s="848"/>
      <c r="G463" s="848"/>
      <c r="H463" s="848"/>
      <c r="I463" s="848"/>
      <c r="J463" s="848"/>
      <c r="K463" s="848"/>
      <c r="L463" s="848"/>
      <c r="M463" s="848"/>
      <c r="N463" s="848"/>
      <c r="O463" s="848"/>
      <c r="P463" s="848"/>
      <c r="Y463" s="849"/>
    </row>
    <row r="464" spans="5:25">
      <c r="E464" s="848"/>
      <c r="F464" s="848"/>
      <c r="G464" s="848"/>
      <c r="H464" s="848"/>
      <c r="I464" s="848"/>
      <c r="J464" s="848"/>
      <c r="K464" s="848"/>
      <c r="L464" s="848"/>
      <c r="M464" s="848"/>
      <c r="N464" s="848"/>
      <c r="O464" s="848"/>
      <c r="P464" s="848"/>
      <c r="Y464" s="849"/>
    </row>
    <row r="465" spans="5:25">
      <c r="E465" s="848"/>
      <c r="F465" s="848"/>
      <c r="G465" s="848"/>
      <c r="H465" s="848"/>
      <c r="I465" s="848"/>
      <c r="J465" s="848"/>
      <c r="K465" s="848"/>
      <c r="L465" s="848"/>
      <c r="M465" s="848"/>
      <c r="N465" s="848"/>
      <c r="O465" s="848"/>
      <c r="P465" s="848"/>
      <c r="Y465" s="849"/>
    </row>
    <row r="466" spans="5:25">
      <c r="E466" s="848"/>
      <c r="F466" s="848"/>
      <c r="G466" s="848"/>
      <c r="H466" s="848"/>
      <c r="I466" s="848"/>
      <c r="J466" s="848"/>
      <c r="K466" s="848"/>
      <c r="L466" s="848"/>
      <c r="M466" s="848"/>
      <c r="N466" s="848"/>
      <c r="O466" s="848"/>
      <c r="P466" s="848"/>
      <c r="Y466" s="849"/>
    </row>
    <row r="467" spans="5:25">
      <c r="E467" s="848"/>
      <c r="F467" s="848"/>
      <c r="G467" s="848"/>
      <c r="H467" s="848"/>
      <c r="I467" s="848"/>
      <c r="J467" s="848"/>
      <c r="K467" s="848"/>
      <c r="L467" s="848"/>
      <c r="M467" s="848"/>
      <c r="N467" s="848"/>
      <c r="O467" s="848"/>
      <c r="P467" s="848"/>
      <c r="Y467" s="849"/>
    </row>
    <row r="468" spans="5:25">
      <c r="E468" s="848"/>
      <c r="F468" s="848"/>
      <c r="G468" s="848"/>
      <c r="H468" s="848"/>
      <c r="I468" s="848"/>
      <c r="J468" s="848"/>
      <c r="K468" s="848"/>
      <c r="L468" s="848"/>
      <c r="M468" s="848"/>
      <c r="N468" s="848"/>
      <c r="O468" s="848"/>
      <c r="P468" s="848"/>
      <c r="Y468" s="849"/>
    </row>
    <row r="469" spans="5:25">
      <c r="E469" s="848"/>
      <c r="F469" s="848"/>
      <c r="G469" s="848"/>
      <c r="H469" s="848"/>
      <c r="I469" s="848"/>
      <c r="J469" s="848"/>
      <c r="K469" s="848"/>
      <c r="L469" s="848"/>
      <c r="M469" s="848"/>
      <c r="N469" s="848"/>
      <c r="O469" s="848"/>
      <c r="P469" s="848"/>
      <c r="Y469" s="849"/>
    </row>
    <row r="470" spans="5:25">
      <c r="E470" s="848"/>
      <c r="F470" s="848"/>
      <c r="G470" s="848"/>
      <c r="H470" s="848"/>
      <c r="I470" s="848"/>
      <c r="J470" s="848"/>
      <c r="K470" s="848"/>
      <c r="L470" s="848"/>
      <c r="M470" s="848"/>
      <c r="N470" s="848"/>
      <c r="O470" s="848"/>
      <c r="P470" s="848"/>
      <c r="Y470" s="849"/>
    </row>
    <row r="471" spans="5:25">
      <c r="E471" s="848"/>
      <c r="F471" s="848"/>
      <c r="G471" s="848"/>
      <c r="H471" s="848"/>
      <c r="I471" s="848"/>
      <c r="J471" s="848"/>
      <c r="K471" s="848"/>
      <c r="L471" s="848"/>
      <c r="M471" s="848"/>
      <c r="N471" s="848"/>
      <c r="O471" s="848"/>
      <c r="P471" s="848"/>
      <c r="Y471" s="849"/>
    </row>
    <row r="472" spans="5:25">
      <c r="E472" s="848"/>
      <c r="F472" s="848"/>
      <c r="G472" s="848"/>
      <c r="H472" s="848"/>
      <c r="I472" s="848"/>
      <c r="J472" s="848"/>
      <c r="K472" s="848"/>
      <c r="L472" s="848"/>
      <c r="M472" s="848"/>
      <c r="N472" s="848"/>
      <c r="O472" s="848"/>
      <c r="P472" s="848"/>
      <c r="Y472" s="849"/>
    </row>
    <row r="473" spans="5:25">
      <c r="E473" s="848"/>
      <c r="F473" s="848"/>
      <c r="G473" s="848"/>
      <c r="H473" s="848"/>
      <c r="I473" s="848"/>
      <c r="J473" s="848"/>
      <c r="K473" s="848"/>
      <c r="L473" s="848"/>
      <c r="M473" s="848"/>
      <c r="N473" s="848"/>
      <c r="O473" s="848"/>
      <c r="P473" s="848"/>
      <c r="Y473" s="849"/>
    </row>
    <row r="474" spans="5:25">
      <c r="E474" s="848"/>
      <c r="F474" s="848"/>
      <c r="G474" s="848"/>
      <c r="H474" s="848"/>
      <c r="I474" s="848"/>
      <c r="J474" s="848"/>
      <c r="K474" s="848"/>
      <c r="L474" s="848"/>
      <c r="M474" s="848"/>
      <c r="N474" s="848"/>
      <c r="O474" s="848"/>
      <c r="P474" s="848"/>
      <c r="Y474" s="849"/>
    </row>
    <row r="475" spans="5:25">
      <c r="E475" s="848"/>
      <c r="F475" s="848"/>
      <c r="G475" s="848"/>
      <c r="H475" s="848"/>
      <c r="I475" s="848"/>
      <c r="J475" s="848"/>
      <c r="K475" s="848"/>
      <c r="L475" s="848"/>
      <c r="M475" s="848"/>
      <c r="N475" s="848"/>
      <c r="O475" s="848"/>
      <c r="P475" s="848"/>
      <c r="Y475" s="849"/>
    </row>
    <row r="476" spans="5:25">
      <c r="E476" s="848"/>
      <c r="F476" s="848"/>
      <c r="G476" s="848"/>
      <c r="H476" s="848"/>
      <c r="I476" s="848"/>
      <c r="J476" s="848"/>
      <c r="K476" s="848"/>
      <c r="L476" s="848"/>
      <c r="M476" s="848"/>
      <c r="N476" s="848"/>
      <c r="O476" s="848"/>
      <c r="P476" s="848"/>
      <c r="Y476" s="849"/>
    </row>
    <row r="477" spans="5:25">
      <c r="E477" s="848"/>
      <c r="F477" s="848"/>
      <c r="G477" s="848"/>
      <c r="H477" s="848"/>
      <c r="I477" s="848"/>
      <c r="J477" s="848"/>
      <c r="K477" s="848"/>
      <c r="L477" s="848"/>
      <c r="M477" s="848"/>
      <c r="N477" s="848"/>
      <c r="O477" s="848"/>
      <c r="P477" s="848"/>
      <c r="Y477" s="849"/>
    </row>
    <row r="478" spans="5:25">
      <c r="E478" s="848"/>
      <c r="F478" s="848"/>
      <c r="G478" s="848"/>
      <c r="H478" s="848"/>
      <c r="I478" s="848"/>
      <c r="J478" s="848"/>
      <c r="K478" s="848"/>
      <c r="L478" s="848"/>
      <c r="M478" s="848"/>
      <c r="N478" s="848"/>
      <c r="O478" s="848"/>
      <c r="P478" s="848"/>
      <c r="Y478" s="849"/>
    </row>
    <row r="479" spans="5:25">
      <c r="E479" s="848"/>
      <c r="F479" s="848"/>
      <c r="G479" s="848"/>
      <c r="H479" s="848"/>
      <c r="I479" s="848"/>
      <c r="J479" s="848"/>
      <c r="K479" s="848"/>
      <c r="L479" s="848"/>
      <c r="M479" s="848"/>
      <c r="N479" s="848"/>
      <c r="O479" s="848"/>
      <c r="P479" s="848"/>
      <c r="Y479" s="849"/>
    </row>
    <row r="480" spans="5:25">
      <c r="E480" s="848"/>
      <c r="F480" s="848"/>
      <c r="G480" s="848"/>
      <c r="H480" s="848"/>
      <c r="I480" s="848"/>
      <c r="J480" s="848"/>
      <c r="K480" s="848"/>
      <c r="L480" s="848"/>
      <c r="M480" s="848"/>
      <c r="N480" s="848"/>
      <c r="O480" s="848"/>
      <c r="P480" s="848"/>
      <c r="Y480" s="849"/>
    </row>
    <row r="481" spans="5:25">
      <c r="E481" s="848"/>
      <c r="F481" s="848"/>
      <c r="G481" s="848"/>
      <c r="H481" s="848"/>
      <c r="I481" s="848"/>
      <c r="J481" s="848"/>
      <c r="K481" s="848"/>
      <c r="L481" s="848"/>
      <c r="M481" s="848"/>
      <c r="N481" s="848"/>
      <c r="O481" s="848"/>
      <c r="P481" s="848"/>
      <c r="Y481" s="849"/>
    </row>
    <row r="482" spans="5:25">
      <c r="E482" s="848"/>
      <c r="F482" s="848"/>
      <c r="G482" s="848"/>
      <c r="H482" s="848"/>
      <c r="I482" s="848"/>
      <c r="J482" s="848"/>
      <c r="K482" s="848"/>
      <c r="L482" s="848"/>
      <c r="M482" s="848"/>
      <c r="N482" s="848"/>
      <c r="O482" s="848"/>
      <c r="P482" s="848"/>
      <c r="Y482" s="849"/>
    </row>
    <row r="483" spans="5:25">
      <c r="E483" s="848"/>
      <c r="F483" s="848"/>
      <c r="G483" s="848"/>
      <c r="H483" s="848"/>
      <c r="I483" s="848"/>
      <c r="J483" s="848"/>
      <c r="K483" s="848"/>
      <c r="L483" s="848"/>
      <c r="M483" s="848"/>
      <c r="N483" s="848"/>
      <c r="O483" s="848"/>
      <c r="P483" s="848"/>
      <c r="Y483" s="849"/>
    </row>
    <row r="484" spans="5:25">
      <c r="E484" s="848"/>
      <c r="F484" s="848"/>
      <c r="G484" s="848"/>
      <c r="H484" s="848"/>
      <c r="I484" s="848"/>
      <c r="J484" s="848"/>
      <c r="K484" s="848"/>
      <c r="L484" s="848"/>
      <c r="M484" s="848"/>
      <c r="N484" s="848"/>
      <c r="O484" s="848"/>
      <c r="P484" s="848"/>
      <c r="Y484" s="849"/>
    </row>
    <row r="485" spans="5:25">
      <c r="E485" s="848"/>
      <c r="F485" s="848"/>
      <c r="G485" s="848"/>
      <c r="H485" s="848"/>
      <c r="I485" s="848"/>
      <c r="J485" s="848"/>
      <c r="K485" s="848"/>
      <c r="L485" s="848"/>
      <c r="M485" s="848"/>
      <c r="N485" s="848"/>
      <c r="O485" s="848"/>
      <c r="P485" s="848"/>
      <c r="Y485" s="849"/>
    </row>
    <row r="486" spans="5:25">
      <c r="E486" s="848"/>
      <c r="F486" s="848"/>
      <c r="G486" s="848"/>
      <c r="H486" s="848"/>
      <c r="I486" s="848"/>
      <c r="J486" s="848"/>
      <c r="K486" s="848"/>
      <c r="L486" s="848"/>
      <c r="M486" s="848"/>
      <c r="N486" s="848"/>
      <c r="O486" s="848"/>
      <c r="P486" s="848"/>
      <c r="Y486" s="849"/>
    </row>
    <row r="487" spans="5:25">
      <c r="E487" s="848"/>
      <c r="F487" s="848"/>
      <c r="G487" s="848"/>
      <c r="H487" s="848"/>
      <c r="I487" s="848"/>
      <c r="J487" s="848"/>
      <c r="K487" s="848"/>
      <c r="L487" s="848"/>
      <c r="M487" s="848"/>
      <c r="N487" s="848"/>
      <c r="O487" s="848"/>
      <c r="P487" s="848"/>
      <c r="Y487" s="849"/>
    </row>
    <row r="488" spans="5:25">
      <c r="E488" s="848"/>
      <c r="F488" s="848"/>
      <c r="G488" s="848"/>
      <c r="H488" s="848"/>
      <c r="I488" s="848"/>
      <c r="J488" s="848"/>
      <c r="K488" s="848"/>
      <c r="L488" s="848"/>
      <c r="M488" s="848"/>
      <c r="N488" s="848"/>
      <c r="O488" s="848"/>
      <c r="P488" s="848"/>
      <c r="Y488" s="849"/>
    </row>
    <row r="489" spans="5:25">
      <c r="E489" s="848"/>
      <c r="F489" s="848"/>
      <c r="G489" s="848"/>
      <c r="H489" s="848"/>
      <c r="I489" s="848"/>
      <c r="J489" s="848"/>
      <c r="K489" s="848"/>
      <c r="L489" s="848"/>
      <c r="M489" s="848"/>
      <c r="N489" s="848"/>
      <c r="O489" s="848"/>
      <c r="P489" s="848"/>
      <c r="Y489" s="849"/>
    </row>
    <row r="490" spans="5:25">
      <c r="E490" s="848"/>
      <c r="F490" s="848"/>
      <c r="G490" s="848"/>
      <c r="H490" s="848"/>
      <c r="I490" s="848"/>
      <c r="J490" s="848"/>
      <c r="K490" s="848"/>
      <c r="L490" s="848"/>
      <c r="M490" s="848"/>
      <c r="N490" s="848"/>
      <c r="O490" s="848"/>
      <c r="P490" s="848"/>
      <c r="Y490" s="849"/>
    </row>
    <row r="491" spans="5:25">
      <c r="E491" s="848"/>
      <c r="F491" s="848"/>
      <c r="G491" s="848"/>
      <c r="H491" s="848"/>
      <c r="I491" s="848"/>
      <c r="J491" s="848"/>
      <c r="K491" s="848"/>
      <c r="L491" s="848"/>
      <c r="M491" s="848"/>
      <c r="N491" s="848"/>
      <c r="O491" s="848"/>
      <c r="P491" s="848"/>
      <c r="Y491" s="849"/>
    </row>
    <row r="492" spans="5:25">
      <c r="E492" s="848"/>
      <c r="F492" s="848"/>
      <c r="G492" s="848"/>
      <c r="H492" s="848"/>
      <c r="I492" s="848"/>
      <c r="J492" s="848"/>
      <c r="K492" s="848"/>
      <c r="L492" s="848"/>
      <c r="M492" s="848"/>
      <c r="N492" s="848"/>
      <c r="O492" s="848"/>
      <c r="P492" s="848"/>
      <c r="Y492" s="849"/>
    </row>
    <row r="493" spans="5:25">
      <c r="E493" s="848"/>
      <c r="F493" s="848"/>
      <c r="G493" s="848"/>
      <c r="H493" s="848"/>
      <c r="I493" s="848"/>
      <c r="J493" s="848"/>
      <c r="K493" s="848"/>
      <c r="L493" s="848"/>
      <c r="M493" s="848"/>
      <c r="N493" s="848"/>
      <c r="O493" s="848"/>
      <c r="P493" s="848"/>
      <c r="Y493" s="849"/>
    </row>
    <row r="494" spans="5:25">
      <c r="E494" s="848"/>
      <c r="F494" s="848"/>
      <c r="G494" s="848"/>
      <c r="H494" s="848"/>
      <c r="I494" s="848"/>
      <c r="J494" s="848"/>
      <c r="K494" s="848"/>
      <c r="L494" s="848"/>
      <c r="M494" s="848"/>
      <c r="N494" s="848"/>
      <c r="O494" s="848"/>
      <c r="P494" s="848"/>
      <c r="Y494" s="849"/>
    </row>
    <row r="495" spans="5:25">
      <c r="E495" s="848"/>
      <c r="F495" s="848"/>
      <c r="G495" s="848"/>
      <c r="H495" s="848"/>
      <c r="I495" s="848"/>
      <c r="J495" s="848"/>
      <c r="K495" s="848"/>
      <c r="L495" s="848"/>
      <c r="M495" s="848"/>
      <c r="N495" s="848"/>
      <c r="O495" s="848"/>
      <c r="P495" s="848"/>
      <c r="Y495" s="849"/>
    </row>
    <row r="496" spans="5:25">
      <c r="E496" s="848"/>
      <c r="F496" s="848"/>
      <c r="G496" s="848"/>
      <c r="H496" s="848"/>
      <c r="I496" s="848"/>
      <c r="J496" s="848"/>
      <c r="K496" s="848"/>
      <c r="L496" s="848"/>
      <c r="M496" s="848"/>
      <c r="N496" s="848"/>
      <c r="O496" s="848"/>
      <c r="P496" s="848"/>
      <c r="Y496" s="849"/>
    </row>
    <row r="497" spans="5:25">
      <c r="E497" s="848"/>
      <c r="F497" s="848"/>
      <c r="G497" s="848"/>
      <c r="H497" s="848"/>
      <c r="I497" s="848"/>
      <c r="J497" s="848"/>
      <c r="K497" s="848"/>
      <c r="L497" s="848"/>
      <c r="M497" s="848"/>
      <c r="N497" s="848"/>
      <c r="O497" s="848"/>
      <c r="P497" s="848"/>
      <c r="Y497" s="849"/>
    </row>
    <row r="498" spans="5:25">
      <c r="E498" s="848"/>
      <c r="F498" s="848"/>
      <c r="G498" s="848"/>
      <c r="H498" s="848"/>
      <c r="I498" s="848"/>
      <c r="J498" s="848"/>
      <c r="K498" s="848"/>
      <c r="L498" s="848"/>
      <c r="M498" s="848"/>
      <c r="N498" s="848"/>
      <c r="O498" s="848"/>
      <c r="P498" s="848"/>
      <c r="Y498" s="849"/>
    </row>
    <row r="499" spans="5:25">
      <c r="E499" s="848"/>
      <c r="F499" s="848"/>
      <c r="G499" s="848"/>
      <c r="H499" s="848"/>
      <c r="I499" s="848"/>
      <c r="J499" s="848"/>
      <c r="K499" s="848"/>
      <c r="L499" s="848"/>
      <c r="M499" s="848"/>
      <c r="N499" s="848"/>
      <c r="O499" s="848"/>
      <c r="P499" s="848"/>
      <c r="Y499" s="849"/>
    </row>
    <row r="500" spans="5:25">
      <c r="E500" s="848"/>
      <c r="F500" s="848"/>
      <c r="G500" s="848"/>
      <c r="H500" s="848"/>
      <c r="I500" s="848"/>
      <c r="J500" s="848"/>
      <c r="K500" s="848"/>
      <c r="L500" s="848"/>
      <c r="M500" s="848"/>
      <c r="N500" s="848"/>
      <c r="O500" s="848"/>
      <c r="P500" s="848"/>
      <c r="Y500" s="849"/>
    </row>
    <row r="501" spans="5:25">
      <c r="E501" s="848"/>
      <c r="F501" s="848"/>
      <c r="G501" s="848"/>
      <c r="H501" s="848"/>
      <c r="I501" s="848"/>
      <c r="J501" s="848"/>
      <c r="K501" s="848"/>
      <c r="L501" s="848"/>
      <c r="M501" s="848"/>
      <c r="N501" s="848"/>
      <c r="O501" s="848"/>
      <c r="P501" s="848"/>
      <c r="Y501" s="849"/>
    </row>
    <row r="502" spans="5:25">
      <c r="E502" s="848"/>
      <c r="F502" s="848"/>
      <c r="G502" s="848"/>
      <c r="H502" s="848"/>
      <c r="I502" s="848"/>
      <c r="J502" s="848"/>
      <c r="K502" s="848"/>
      <c r="L502" s="848"/>
      <c r="M502" s="848"/>
      <c r="N502" s="848"/>
      <c r="O502" s="848"/>
      <c r="P502" s="848"/>
      <c r="Y502" s="849"/>
    </row>
    <row r="503" spans="5:25">
      <c r="E503" s="848"/>
      <c r="F503" s="848"/>
      <c r="G503" s="848"/>
      <c r="H503" s="848"/>
      <c r="I503" s="848"/>
      <c r="J503" s="848"/>
      <c r="K503" s="848"/>
      <c r="L503" s="848"/>
      <c r="M503" s="848"/>
      <c r="N503" s="848"/>
      <c r="O503" s="848"/>
      <c r="P503" s="848"/>
      <c r="Y503" s="849"/>
    </row>
    <row r="504" spans="5:25">
      <c r="E504" s="848"/>
      <c r="F504" s="848"/>
      <c r="G504" s="848"/>
      <c r="H504" s="848"/>
      <c r="I504" s="848"/>
      <c r="J504" s="848"/>
      <c r="K504" s="848"/>
      <c r="L504" s="848"/>
      <c r="M504" s="848"/>
      <c r="N504" s="848"/>
      <c r="O504" s="848"/>
      <c r="P504" s="848"/>
      <c r="Y504" s="849"/>
    </row>
    <row r="505" spans="5:25">
      <c r="E505" s="848"/>
      <c r="F505" s="848"/>
      <c r="G505" s="848"/>
      <c r="H505" s="848"/>
      <c r="I505" s="848"/>
      <c r="J505" s="848"/>
      <c r="K505" s="848"/>
      <c r="L505" s="848"/>
      <c r="M505" s="848"/>
      <c r="N505" s="848"/>
      <c r="O505" s="848"/>
      <c r="P505" s="848"/>
      <c r="Y505" s="849"/>
    </row>
    <row r="506" spans="5:25">
      <c r="E506" s="848"/>
      <c r="F506" s="848"/>
      <c r="G506" s="848"/>
      <c r="H506" s="848"/>
      <c r="I506" s="848"/>
      <c r="J506" s="848"/>
      <c r="K506" s="848"/>
      <c r="L506" s="848"/>
      <c r="M506" s="848"/>
      <c r="N506" s="848"/>
      <c r="O506" s="848"/>
      <c r="P506" s="848"/>
      <c r="Y506" s="849"/>
    </row>
    <row r="507" spans="5:25">
      <c r="E507" s="848"/>
      <c r="F507" s="848"/>
      <c r="G507" s="848"/>
      <c r="H507" s="848"/>
      <c r="I507" s="848"/>
      <c r="J507" s="848"/>
      <c r="K507" s="848"/>
      <c r="L507" s="848"/>
      <c r="M507" s="848"/>
      <c r="N507" s="848"/>
      <c r="O507" s="848"/>
      <c r="P507" s="848"/>
      <c r="Y507" s="849"/>
    </row>
    <row r="508" spans="5:25">
      <c r="E508" s="848"/>
      <c r="F508" s="848"/>
      <c r="G508" s="848"/>
      <c r="H508" s="848"/>
      <c r="I508" s="848"/>
      <c r="J508" s="848"/>
      <c r="K508" s="848"/>
      <c r="L508" s="848"/>
      <c r="M508" s="848"/>
      <c r="N508" s="848"/>
      <c r="O508" s="848"/>
      <c r="P508" s="848"/>
      <c r="Y508" s="849"/>
    </row>
    <row r="509" spans="5:25">
      <c r="E509" s="848"/>
      <c r="F509" s="848"/>
      <c r="G509" s="848"/>
      <c r="H509" s="848"/>
      <c r="I509" s="848"/>
      <c r="J509" s="848"/>
      <c r="K509" s="848"/>
      <c r="L509" s="848"/>
      <c r="M509" s="848"/>
      <c r="N509" s="848"/>
      <c r="O509" s="848"/>
      <c r="P509" s="848"/>
      <c r="Y509" s="849"/>
    </row>
    <row r="510" spans="5:25">
      <c r="E510" s="848"/>
      <c r="F510" s="848"/>
      <c r="G510" s="848"/>
      <c r="H510" s="848"/>
      <c r="I510" s="848"/>
      <c r="J510" s="848"/>
      <c r="K510" s="848"/>
      <c r="L510" s="848"/>
      <c r="M510" s="848"/>
      <c r="N510" s="848"/>
      <c r="O510" s="848"/>
      <c r="P510" s="848"/>
      <c r="Y510" s="849"/>
    </row>
    <row r="511" spans="5:25">
      <c r="E511" s="848"/>
      <c r="F511" s="848"/>
      <c r="G511" s="848"/>
      <c r="H511" s="848"/>
      <c r="I511" s="848"/>
      <c r="J511" s="848"/>
      <c r="K511" s="848"/>
      <c r="L511" s="848"/>
      <c r="M511" s="848"/>
      <c r="N511" s="848"/>
      <c r="O511" s="848"/>
      <c r="P511" s="848"/>
      <c r="Y511" s="849"/>
    </row>
    <row r="512" spans="5:25">
      <c r="E512" s="848"/>
      <c r="F512" s="848"/>
      <c r="G512" s="848"/>
      <c r="H512" s="848"/>
      <c r="I512" s="848"/>
      <c r="J512" s="848"/>
      <c r="K512" s="848"/>
      <c r="L512" s="848"/>
      <c r="M512" s="848"/>
      <c r="N512" s="848"/>
      <c r="O512" s="848"/>
      <c r="P512" s="848"/>
      <c r="Y512" s="849"/>
    </row>
    <row r="513" spans="5:25">
      <c r="E513" s="848"/>
      <c r="F513" s="848"/>
      <c r="G513" s="848"/>
      <c r="H513" s="848"/>
      <c r="I513" s="848"/>
      <c r="J513" s="848"/>
      <c r="K513" s="848"/>
      <c r="L513" s="848"/>
      <c r="M513" s="848"/>
      <c r="N513" s="848"/>
      <c r="O513" s="848"/>
      <c r="P513" s="848"/>
      <c r="Y513" s="849"/>
    </row>
    <row r="514" spans="5:25">
      <c r="E514" s="848"/>
      <c r="F514" s="848"/>
      <c r="G514" s="848"/>
      <c r="H514" s="848"/>
      <c r="I514" s="848"/>
      <c r="J514" s="848"/>
      <c r="K514" s="848"/>
      <c r="L514" s="848"/>
      <c r="M514" s="848"/>
      <c r="N514" s="848"/>
      <c r="O514" s="848"/>
      <c r="P514" s="848"/>
      <c r="Y514" s="849"/>
    </row>
    <row r="515" spans="5:25">
      <c r="E515" s="848"/>
      <c r="F515" s="848"/>
      <c r="G515" s="848"/>
      <c r="H515" s="848"/>
      <c r="I515" s="848"/>
      <c r="J515" s="848"/>
      <c r="K515" s="848"/>
      <c r="L515" s="848"/>
      <c r="M515" s="848"/>
      <c r="N515" s="848"/>
      <c r="O515" s="848"/>
      <c r="P515" s="848"/>
      <c r="Y515" s="849"/>
    </row>
    <row r="516" spans="5:25">
      <c r="E516" s="848"/>
      <c r="F516" s="848"/>
      <c r="G516" s="848"/>
      <c r="H516" s="848"/>
      <c r="I516" s="848"/>
      <c r="J516" s="848"/>
      <c r="K516" s="848"/>
      <c r="L516" s="848"/>
      <c r="M516" s="848"/>
      <c r="N516" s="848"/>
      <c r="O516" s="848"/>
      <c r="P516" s="848"/>
      <c r="Y516" s="849"/>
    </row>
    <row r="517" spans="5:25">
      <c r="E517" s="848"/>
      <c r="F517" s="848"/>
      <c r="G517" s="848"/>
      <c r="H517" s="848"/>
      <c r="I517" s="848"/>
      <c r="J517" s="848"/>
      <c r="K517" s="848"/>
      <c r="L517" s="848"/>
      <c r="M517" s="848"/>
      <c r="N517" s="848"/>
      <c r="O517" s="848"/>
      <c r="P517" s="848"/>
      <c r="Y517" s="849"/>
    </row>
    <row r="518" spans="5:25">
      <c r="E518" s="848"/>
      <c r="F518" s="848"/>
      <c r="G518" s="848"/>
      <c r="H518" s="848"/>
      <c r="I518" s="848"/>
      <c r="J518" s="848"/>
      <c r="K518" s="848"/>
      <c r="L518" s="848"/>
      <c r="M518" s="848"/>
      <c r="N518" s="848"/>
      <c r="O518" s="848"/>
      <c r="P518" s="848"/>
      <c r="Y518" s="849"/>
    </row>
    <row r="519" spans="5:25">
      <c r="E519" s="848"/>
      <c r="F519" s="848"/>
      <c r="G519" s="848"/>
      <c r="H519" s="848"/>
      <c r="I519" s="848"/>
      <c r="J519" s="848"/>
      <c r="K519" s="848"/>
      <c r="L519" s="848"/>
      <c r="M519" s="848"/>
      <c r="N519" s="848"/>
      <c r="O519" s="848"/>
      <c r="P519" s="848"/>
      <c r="Y519" s="849"/>
    </row>
    <row r="520" spans="5:25">
      <c r="E520" s="848"/>
      <c r="F520" s="848"/>
      <c r="G520" s="848"/>
      <c r="H520" s="848"/>
      <c r="I520" s="848"/>
      <c r="J520" s="848"/>
      <c r="K520" s="848"/>
      <c r="L520" s="848"/>
      <c r="M520" s="848"/>
      <c r="N520" s="848"/>
      <c r="O520" s="848"/>
      <c r="P520" s="848"/>
      <c r="Y520" s="849"/>
    </row>
    <row r="521" spans="5:25">
      <c r="E521" s="848"/>
      <c r="F521" s="848"/>
      <c r="G521" s="848"/>
      <c r="H521" s="848"/>
      <c r="I521" s="848"/>
      <c r="J521" s="848"/>
      <c r="K521" s="848"/>
      <c r="L521" s="848"/>
      <c r="M521" s="848"/>
      <c r="N521" s="848"/>
      <c r="O521" s="848"/>
      <c r="P521" s="848"/>
      <c r="Y521" s="849"/>
    </row>
    <row r="522" spans="5:25">
      <c r="E522" s="848"/>
      <c r="F522" s="848"/>
      <c r="G522" s="848"/>
      <c r="H522" s="848"/>
      <c r="I522" s="848"/>
      <c r="J522" s="848"/>
      <c r="K522" s="848"/>
      <c r="L522" s="848"/>
      <c r="M522" s="848"/>
      <c r="N522" s="848"/>
      <c r="O522" s="848"/>
      <c r="P522" s="848"/>
      <c r="Y522" s="849"/>
    </row>
    <row r="523" spans="5:25">
      <c r="E523" s="848"/>
      <c r="F523" s="848"/>
      <c r="G523" s="848"/>
      <c r="H523" s="848"/>
      <c r="I523" s="848"/>
      <c r="J523" s="848"/>
      <c r="K523" s="848"/>
      <c r="L523" s="848"/>
      <c r="M523" s="848"/>
      <c r="N523" s="848"/>
      <c r="O523" s="848"/>
      <c r="P523" s="848"/>
      <c r="Y523" s="849"/>
    </row>
    <row r="524" spans="5:25">
      <c r="E524" s="848"/>
      <c r="F524" s="848"/>
      <c r="G524" s="848"/>
      <c r="H524" s="848"/>
      <c r="I524" s="848"/>
      <c r="J524" s="848"/>
      <c r="K524" s="848"/>
      <c r="L524" s="848"/>
      <c r="M524" s="848"/>
      <c r="N524" s="848"/>
      <c r="O524" s="848"/>
      <c r="P524" s="848"/>
      <c r="Y524" s="849"/>
    </row>
    <row r="525" spans="5:25">
      <c r="E525" s="848"/>
      <c r="F525" s="848"/>
      <c r="G525" s="848"/>
      <c r="H525" s="848"/>
      <c r="I525" s="848"/>
      <c r="J525" s="848"/>
      <c r="K525" s="848"/>
      <c r="L525" s="848"/>
      <c r="M525" s="848"/>
      <c r="N525" s="848"/>
      <c r="O525" s="848"/>
      <c r="P525" s="848"/>
      <c r="Y525" s="849"/>
    </row>
  </sheetData>
  <mergeCells count="83">
    <mergeCell ref="A142:Y143"/>
    <mergeCell ref="A87:A93"/>
    <mergeCell ref="Y87:Y93"/>
    <mergeCell ref="C89:C90"/>
    <mergeCell ref="C92:C93"/>
    <mergeCell ref="X91:X93"/>
    <mergeCell ref="A134:A140"/>
    <mergeCell ref="Y134:Y140"/>
    <mergeCell ref="C136:C137"/>
    <mergeCell ref="C139:C140"/>
    <mergeCell ref="X138:X140"/>
    <mergeCell ref="A94:A102"/>
    <mergeCell ref="Y94:Y102"/>
    <mergeCell ref="C101:C102"/>
    <mergeCell ref="C96:C99"/>
    <mergeCell ref="X100:X102"/>
    <mergeCell ref="A3:Y3"/>
    <mergeCell ref="B4:B6"/>
    <mergeCell ref="C4:C6"/>
    <mergeCell ref="D4:D6"/>
    <mergeCell ref="E4:L5"/>
    <mergeCell ref="Y4:Y6"/>
    <mergeCell ref="X4:X6"/>
    <mergeCell ref="M4:M5"/>
    <mergeCell ref="O4:O5"/>
    <mergeCell ref="P4:W5"/>
    <mergeCell ref="A21:A29"/>
    <mergeCell ref="Y21:Y29"/>
    <mergeCell ref="C23:C26"/>
    <mergeCell ref="C28:C29"/>
    <mergeCell ref="X17:X20"/>
    <mergeCell ref="X27:X29"/>
    <mergeCell ref="A30:A38"/>
    <mergeCell ref="Y30:Y38"/>
    <mergeCell ref="C32:C35"/>
    <mergeCell ref="C37:C38"/>
    <mergeCell ref="X36:X38"/>
    <mergeCell ref="A39:A47"/>
    <mergeCell ref="Y39:Y47"/>
    <mergeCell ref="C41:C44"/>
    <mergeCell ref="C46:C47"/>
    <mergeCell ref="X45:X47"/>
    <mergeCell ref="A48:A54"/>
    <mergeCell ref="Y48:Y54"/>
    <mergeCell ref="C50:C51"/>
    <mergeCell ref="C53:C54"/>
    <mergeCell ref="X52:X54"/>
    <mergeCell ref="A55:A63"/>
    <mergeCell ref="Y55:Y63"/>
    <mergeCell ref="C62:C63"/>
    <mergeCell ref="C57:C60"/>
    <mergeCell ref="X61:X63"/>
    <mergeCell ref="A64:A70"/>
    <mergeCell ref="Y64:Y70"/>
    <mergeCell ref="C66:C67"/>
    <mergeCell ref="C69:C70"/>
    <mergeCell ref="X68:X70"/>
    <mergeCell ref="A71:A77"/>
    <mergeCell ref="Y71:Y77"/>
    <mergeCell ref="C73:C74"/>
    <mergeCell ref="C76:C77"/>
    <mergeCell ref="X75:X77"/>
    <mergeCell ref="A78:A86"/>
    <mergeCell ref="Y78:Y86"/>
    <mergeCell ref="C85:C86"/>
    <mergeCell ref="X84:X86"/>
    <mergeCell ref="C80:C83"/>
    <mergeCell ref="A103:A109"/>
    <mergeCell ref="Y103:Y109"/>
    <mergeCell ref="C105:C106"/>
    <mergeCell ref="C108:C109"/>
    <mergeCell ref="X107:X109"/>
    <mergeCell ref="A130:A133"/>
    <mergeCell ref="Y130:Y133"/>
    <mergeCell ref="C132:C133"/>
    <mergeCell ref="C124:C126"/>
    <mergeCell ref="Y120:Y129"/>
    <mergeCell ref="X127:X129"/>
    <mergeCell ref="A110:A118"/>
    <mergeCell ref="Y110:Y118"/>
    <mergeCell ref="C117:C118"/>
    <mergeCell ref="X116:X118"/>
    <mergeCell ref="C112:C115"/>
  </mergeCells>
  <pageMargins left="0.59055118110236227" right="0.47244094488188981" top="0.59055118110236227" bottom="0.39370078740157483" header="0.19685039370078741" footer="0.11811023622047245"/>
  <pageSetup paperSize="9" scale="70" firstPageNumber="56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_______________________________________________________________________________________________________________________</oddHeader>
    <oddFooter>&amp;C&amp;9&amp;P</oddFooter>
  </headerFooter>
  <rowBreaks count="1" manualBreakCount="1">
    <brk id="118" max="2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C448"/>
  <sheetViews>
    <sheetView showGridLines="0" zoomScaleNormal="100" zoomScaleSheetLayoutView="100" workbookViewId="0">
      <pane xSplit="3" ySplit="9" topLeftCell="D51" activePane="bottomRight" state="frozen"/>
      <selection pane="topRight" activeCell="D1" sqref="D1"/>
      <selection pane="bottomLeft" activeCell="A10" sqref="A10"/>
      <selection pane="bottomRight" activeCell="U68" sqref="U68"/>
    </sheetView>
  </sheetViews>
  <sheetFormatPr defaultRowHeight="11.25"/>
  <cols>
    <col min="1" max="1" width="2.85546875" style="1077" customWidth="1"/>
    <col min="2" max="2" width="60.42578125" style="1078" customWidth="1"/>
    <col min="3" max="3" width="10.5703125" style="1078" customWidth="1"/>
    <col min="4" max="4" width="14.42578125" style="1078" customWidth="1"/>
    <col min="5" max="5" width="10.140625" style="1078" hidden="1" customWidth="1"/>
    <col min="6" max="8" width="11.5703125" style="1078" hidden="1" customWidth="1"/>
    <col min="9" max="9" width="6" style="1078" hidden="1" customWidth="1"/>
    <col min="10" max="10" width="9.5703125" style="1078" hidden="1" customWidth="1"/>
    <col min="11" max="11" width="9.85546875" style="1078" hidden="1" customWidth="1"/>
    <col min="12" max="12" width="9.7109375" style="1078" hidden="1" customWidth="1"/>
    <col min="13" max="13" width="13.28515625" style="1078" customWidth="1"/>
    <col min="14" max="14" width="9.5703125" style="1078" hidden="1" customWidth="1"/>
    <col min="15" max="15" width="11.140625" style="1078" customWidth="1"/>
    <col min="16" max="16" width="9.28515625" style="1132" customWidth="1"/>
    <col min="17" max="17" width="9.28515625" style="1130" customWidth="1"/>
    <col min="18" max="18" width="8" style="1130" customWidth="1"/>
    <col min="19" max="19" width="7.85546875" style="1130" customWidth="1"/>
    <col min="20" max="23" width="7" style="1130" bestFit="1" customWidth="1"/>
    <col min="24" max="24" width="11.42578125" style="1130" customWidth="1"/>
    <col min="25" max="25" width="15.28515625" style="1133" customWidth="1"/>
    <col min="26" max="26" width="11.85546875" style="1078" customWidth="1"/>
    <col min="27" max="261" width="9.140625" style="1078"/>
    <col min="262" max="262" width="2.85546875" style="1078" customWidth="1"/>
    <col min="263" max="263" width="50.7109375" style="1078" customWidth="1"/>
    <col min="264" max="264" width="9.42578125" style="1078" customWidth="1"/>
    <col min="265" max="265" width="11.85546875" style="1078" customWidth="1"/>
    <col min="266" max="266" width="8.42578125" style="1078" bestFit="1" customWidth="1"/>
    <col min="267" max="269" width="0" style="1078" hidden="1" customWidth="1"/>
    <col min="270" max="270" width="6" style="1078" bestFit="1" customWidth="1"/>
    <col min="271" max="271" width="9.5703125" style="1078" customWidth="1"/>
    <col min="272" max="272" width="9.85546875" style="1078" customWidth="1"/>
    <col min="273" max="273" width="9.7109375" style="1078" customWidth="1"/>
    <col min="274" max="274" width="9.5703125" style="1078" customWidth="1"/>
    <col min="275" max="275" width="9.85546875" style="1078" customWidth="1"/>
    <col min="276" max="276" width="6.5703125" style="1078" customWidth="1"/>
    <col min="277" max="277" width="6" style="1078" bestFit="1" customWidth="1"/>
    <col min="278" max="278" width="6.28515625" style="1078" customWidth="1"/>
    <col min="279" max="279" width="11.7109375" style="1078" customWidth="1"/>
    <col min="280" max="280" width="0" style="1078" hidden="1" customWidth="1"/>
    <col min="281" max="281" width="14.5703125" style="1078" customWidth="1"/>
    <col min="282" max="282" width="11.85546875" style="1078" customWidth="1"/>
    <col min="283" max="517" width="9.140625" style="1078"/>
    <col min="518" max="518" width="2.85546875" style="1078" customWidth="1"/>
    <col min="519" max="519" width="50.7109375" style="1078" customWidth="1"/>
    <col min="520" max="520" width="9.42578125" style="1078" customWidth="1"/>
    <col min="521" max="521" width="11.85546875" style="1078" customWidth="1"/>
    <col min="522" max="522" width="8.42578125" style="1078" bestFit="1" customWidth="1"/>
    <col min="523" max="525" width="0" style="1078" hidden="1" customWidth="1"/>
    <col min="526" max="526" width="6" style="1078" bestFit="1" customWidth="1"/>
    <col min="527" max="527" width="9.5703125" style="1078" customWidth="1"/>
    <col min="528" max="528" width="9.85546875" style="1078" customWidth="1"/>
    <col min="529" max="529" width="9.7109375" style="1078" customWidth="1"/>
    <col min="530" max="530" width="9.5703125" style="1078" customWidth="1"/>
    <col min="531" max="531" width="9.85546875" style="1078" customWidth="1"/>
    <col min="532" max="532" width="6.5703125" style="1078" customWidth="1"/>
    <col min="533" max="533" width="6" style="1078" bestFit="1" customWidth="1"/>
    <col min="534" max="534" width="6.28515625" style="1078" customWidth="1"/>
    <col min="535" max="535" width="11.7109375" style="1078" customWidth="1"/>
    <col min="536" max="536" width="0" style="1078" hidden="1" customWidth="1"/>
    <col min="537" max="537" width="14.5703125" style="1078" customWidth="1"/>
    <col min="538" max="538" width="11.85546875" style="1078" customWidth="1"/>
    <col min="539" max="773" width="9.140625" style="1078"/>
    <col min="774" max="774" width="2.85546875" style="1078" customWidth="1"/>
    <col min="775" max="775" width="50.7109375" style="1078" customWidth="1"/>
    <col min="776" max="776" width="9.42578125" style="1078" customWidth="1"/>
    <col min="777" max="777" width="11.85546875" style="1078" customWidth="1"/>
    <col min="778" max="778" width="8.42578125" style="1078" bestFit="1" customWidth="1"/>
    <col min="779" max="781" width="0" style="1078" hidden="1" customWidth="1"/>
    <col min="782" max="782" width="6" style="1078" bestFit="1" customWidth="1"/>
    <col min="783" max="783" width="9.5703125" style="1078" customWidth="1"/>
    <col min="784" max="784" width="9.85546875" style="1078" customWidth="1"/>
    <col min="785" max="785" width="9.7109375" style="1078" customWidth="1"/>
    <col min="786" max="786" width="9.5703125" style="1078" customWidth="1"/>
    <col min="787" max="787" width="9.85546875" style="1078" customWidth="1"/>
    <col min="788" max="788" width="6.5703125" style="1078" customWidth="1"/>
    <col min="789" max="789" width="6" style="1078" bestFit="1" customWidth="1"/>
    <col min="790" max="790" width="6.28515625" style="1078" customWidth="1"/>
    <col min="791" max="791" width="11.7109375" style="1078" customWidth="1"/>
    <col min="792" max="792" width="0" style="1078" hidden="1" customWidth="1"/>
    <col min="793" max="793" width="14.5703125" style="1078" customWidth="1"/>
    <col min="794" max="794" width="11.85546875" style="1078" customWidth="1"/>
    <col min="795" max="1029" width="9.140625" style="1078"/>
    <col min="1030" max="1030" width="2.85546875" style="1078" customWidth="1"/>
    <col min="1031" max="1031" width="50.7109375" style="1078" customWidth="1"/>
    <col min="1032" max="1032" width="9.42578125" style="1078" customWidth="1"/>
    <col min="1033" max="1033" width="11.85546875" style="1078" customWidth="1"/>
    <col min="1034" max="1034" width="8.42578125" style="1078" bestFit="1" customWidth="1"/>
    <col min="1035" max="1037" width="0" style="1078" hidden="1" customWidth="1"/>
    <col min="1038" max="1038" width="6" style="1078" bestFit="1" customWidth="1"/>
    <col min="1039" max="1039" width="9.5703125" style="1078" customWidth="1"/>
    <col min="1040" max="1040" width="9.85546875" style="1078" customWidth="1"/>
    <col min="1041" max="1041" width="9.7109375" style="1078" customWidth="1"/>
    <col min="1042" max="1042" width="9.5703125" style="1078" customWidth="1"/>
    <col min="1043" max="1043" width="9.85546875" style="1078" customWidth="1"/>
    <col min="1044" max="1044" width="6.5703125" style="1078" customWidth="1"/>
    <col min="1045" max="1045" width="6" style="1078" bestFit="1" customWidth="1"/>
    <col min="1046" max="1046" width="6.28515625" style="1078" customWidth="1"/>
    <col min="1047" max="1047" width="11.7109375" style="1078" customWidth="1"/>
    <col min="1048" max="1048" width="0" style="1078" hidden="1" customWidth="1"/>
    <col min="1049" max="1049" width="14.5703125" style="1078" customWidth="1"/>
    <col min="1050" max="1050" width="11.85546875" style="1078" customWidth="1"/>
    <col min="1051" max="1285" width="9.140625" style="1078"/>
    <col min="1286" max="1286" width="2.85546875" style="1078" customWidth="1"/>
    <col min="1287" max="1287" width="50.7109375" style="1078" customWidth="1"/>
    <col min="1288" max="1288" width="9.42578125" style="1078" customWidth="1"/>
    <col min="1289" max="1289" width="11.85546875" style="1078" customWidth="1"/>
    <col min="1290" max="1290" width="8.42578125" style="1078" bestFit="1" customWidth="1"/>
    <col min="1291" max="1293" width="0" style="1078" hidden="1" customWidth="1"/>
    <col min="1294" max="1294" width="6" style="1078" bestFit="1" customWidth="1"/>
    <col min="1295" max="1295" width="9.5703125" style="1078" customWidth="1"/>
    <col min="1296" max="1296" width="9.85546875" style="1078" customWidth="1"/>
    <col min="1297" max="1297" width="9.7109375" style="1078" customWidth="1"/>
    <col min="1298" max="1298" width="9.5703125" style="1078" customWidth="1"/>
    <col min="1299" max="1299" width="9.85546875" style="1078" customWidth="1"/>
    <col min="1300" max="1300" width="6.5703125" style="1078" customWidth="1"/>
    <col min="1301" max="1301" width="6" style="1078" bestFit="1" customWidth="1"/>
    <col min="1302" max="1302" width="6.28515625" style="1078" customWidth="1"/>
    <col min="1303" max="1303" width="11.7109375" style="1078" customWidth="1"/>
    <col min="1304" max="1304" width="0" style="1078" hidden="1" customWidth="1"/>
    <col min="1305" max="1305" width="14.5703125" style="1078" customWidth="1"/>
    <col min="1306" max="1306" width="11.85546875" style="1078" customWidth="1"/>
    <col min="1307" max="1541" width="9.140625" style="1078"/>
    <col min="1542" max="1542" width="2.85546875" style="1078" customWidth="1"/>
    <col min="1543" max="1543" width="50.7109375" style="1078" customWidth="1"/>
    <col min="1544" max="1544" width="9.42578125" style="1078" customWidth="1"/>
    <col min="1545" max="1545" width="11.85546875" style="1078" customWidth="1"/>
    <col min="1546" max="1546" width="8.42578125" style="1078" bestFit="1" customWidth="1"/>
    <col min="1547" max="1549" width="0" style="1078" hidden="1" customWidth="1"/>
    <col min="1550" max="1550" width="6" style="1078" bestFit="1" customWidth="1"/>
    <col min="1551" max="1551" width="9.5703125" style="1078" customWidth="1"/>
    <col min="1552" max="1552" width="9.85546875" style="1078" customWidth="1"/>
    <col min="1553" max="1553" width="9.7109375" style="1078" customWidth="1"/>
    <col min="1554" max="1554" width="9.5703125" style="1078" customWidth="1"/>
    <col min="1555" max="1555" width="9.85546875" style="1078" customWidth="1"/>
    <col min="1556" max="1556" width="6.5703125" style="1078" customWidth="1"/>
    <col min="1557" max="1557" width="6" style="1078" bestFit="1" customWidth="1"/>
    <col min="1558" max="1558" width="6.28515625" style="1078" customWidth="1"/>
    <col min="1559" max="1559" width="11.7109375" style="1078" customWidth="1"/>
    <col min="1560" max="1560" width="0" style="1078" hidden="1" customWidth="1"/>
    <col min="1561" max="1561" width="14.5703125" style="1078" customWidth="1"/>
    <col min="1562" max="1562" width="11.85546875" style="1078" customWidth="1"/>
    <col min="1563" max="1797" width="9.140625" style="1078"/>
    <col min="1798" max="1798" width="2.85546875" style="1078" customWidth="1"/>
    <col min="1799" max="1799" width="50.7109375" style="1078" customWidth="1"/>
    <col min="1800" max="1800" width="9.42578125" style="1078" customWidth="1"/>
    <col min="1801" max="1801" width="11.85546875" style="1078" customWidth="1"/>
    <col min="1802" max="1802" width="8.42578125" style="1078" bestFit="1" customWidth="1"/>
    <col min="1803" max="1805" width="0" style="1078" hidden="1" customWidth="1"/>
    <col min="1806" max="1806" width="6" style="1078" bestFit="1" customWidth="1"/>
    <col min="1807" max="1807" width="9.5703125" style="1078" customWidth="1"/>
    <col min="1808" max="1808" width="9.85546875" style="1078" customWidth="1"/>
    <col min="1809" max="1809" width="9.7109375" style="1078" customWidth="1"/>
    <col min="1810" max="1810" width="9.5703125" style="1078" customWidth="1"/>
    <col min="1811" max="1811" width="9.85546875" style="1078" customWidth="1"/>
    <col min="1812" max="1812" width="6.5703125" style="1078" customWidth="1"/>
    <col min="1813" max="1813" width="6" style="1078" bestFit="1" customWidth="1"/>
    <col min="1814" max="1814" width="6.28515625" style="1078" customWidth="1"/>
    <col min="1815" max="1815" width="11.7109375" style="1078" customWidth="1"/>
    <col min="1816" max="1816" width="0" style="1078" hidden="1" customWidth="1"/>
    <col min="1817" max="1817" width="14.5703125" style="1078" customWidth="1"/>
    <col min="1818" max="1818" width="11.85546875" style="1078" customWidth="1"/>
    <col min="1819" max="2053" width="9.140625" style="1078"/>
    <col min="2054" max="2054" width="2.85546875" style="1078" customWidth="1"/>
    <col min="2055" max="2055" width="50.7109375" style="1078" customWidth="1"/>
    <col min="2056" max="2056" width="9.42578125" style="1078" customWidth="1"/>
    <col min="2057" max="2057" width="11.85546875" style="1078" customWidth="1"/>
    <col min="2058" max="2058" width="8.42578125" style="1078" bestFit="1" customWidth="1"/>
    <col min="2059" max="2061" width="0" style="1078" hidden="1" customWidth="1"/>
    <col min="2062" max="2062" width="6" style="1078" bestFit="1" customWidth="1"/>
    <col min="2063" max="2063" width="9.5703125" style="1078" customWidth="1"/>
    <col min="2064" max="2064" width="9.85546875" style="1078" customWidth="1"/>
    <col min="2065" max="2065" width="9.7109375" style="1078" customWidth="1"/>
    <col min="2066" max="2066" width="9.5703125" style="1078" customWidth="1"/>
    <col min="2067" max="2067" width="9.85546875" style="1078" customWidth="1"/>
    <col min="2068" max="2068" width="6.5703125" style="1078" customWidth="1"/>
    <col min="2069" max="2069" width="6" style="1078" bestFit="1" customWidth="1"/>
    <col min="2070" max="2070" width="6.28515625" style="1078" customWidth="1"/>
    <col min="2071" max="2071" width="11.7109375" style="1078" customWidth="1"/>
    <col min="2072" max="2072" width="0" style="1078" hidden="1" customWidth="1"/>
    <col min="2073" max="2073" width="14.5703125" style="1078" customWidth="1"/>
    <col min="2074" max="2074" width="11.85546875" style="1078" customWidth="1"/>
    <col min="2075" max="2309" width="9.140625" style="1078"/>
    <col min="2310" max="2310" width="2.85546875" style="1078" customWidth="1"/>
    <col min="2311" max="2311" width="50.7109375" style="1078" customWidth="1"/>
    <col min="2312" max="2312" width="9.42578125" style="1078" customWidth="1"/>
    <col min="2313" max="2313" width="11.85546875" style="1078" customWidth="1"/>
    <col min="2314" max="2314" width="8.42578125" style="1078" bestFit="1" customWidth="1"/>
    <col min="2315" max="2317" width="0" style="1078" hidden="1" customWidth="1"/>
    <col min="2318" max="2318" width="6" style="1078" bestFit="1" customWidth="1"/>
    <col min="2319" max="2319" width="9.5703125" style="1078" customWidth="1"/>
    <col min="2320" max="2320" width="9.85546875" style="1078" customWidth="1"/>
    <col min="2321" max="2321" width="9.7109375" style="1078" customWidth="1"/>
    <col min="2322" max="2322" width="9.5703125" style="1078" customWidth="1"/>
    <col min="2323" max="2323" width="9.85546875" style="1078" customWidth="1"/>
    <col min="2324" max="2324" width="6.5703125" style="1078" customWidth="1"/>
    <col min="2325" max="2325" width="6" style="1078" bestFit="1" customWidth="1"/>
    <col min="2326" max="2326" width="6.28515625" style="1078" customWidth="1"/>
    <col min="2327" max="2327" width="11.7109375" style="1078" customWidth="1"/>
    <col min="2328" max="2328" width="0" style="1078" hidden="1" customWidth="1"/>
    <col min="2329" max="2329" width="14.5703125" style="1078" customWidth="1"/>
    <col min="2330" max="2330" width="11.85546875" style="1078" customWidth="1"/>
    <col min="2331" max="2565" width="9.140625" style="1078"/>
    <col min="2566" max="2566" width="2.85546875" style="1078" customWidth="1"/>
    <col min="2567" max="2567" width="50.7109375" style="1078" customWidth="1"/>
    <col min="2568" max="2568" width="9.42578125" style="1078" customWidth="1"/>
    <col min="2569" max="2569" width="11.85546875" style="1078" customWidth="1"/>
    <col min="2570" max="2570" width="8.42578125" style="1078" bestFit="1" customWidth="1"/>
    <col min="2571" max="2573" width="0" style="1078" hidden="1" customWidth="1"/>
    <col min="2574" max="2574" width="6" style="1078" bestFit="1" customWidth="1"/>
    <col min="2575" max="2575" width="9.5703125" style="1078" customWidth="1"/>
    <col min="2576" max="2576" width="9.85546875" style="1078" customWidth="1"/>
    <col min="2577" max="2577" width="9.7109375" style="1078" customWidth="1"/>
    <col min="2578" max="2578" width="9.5703125" style="1078" customWidth="1"/>
    <col min="2579" max="2579" width="9.85546875" style="1078" customWidth="1"/>
    <col min="2580" max="2580" width="6.5703125" style="1078" customWidth="1"/>
    <col min="2581" max="2581" width="6" style="1078" bestFit="1" customWidth="1"/>
    <col min="2582" max="2582" width="6.28515625" style="1078" customWidth="1"/>
    <col min="2583" max="2583" width="11.7109375" style="1078" customWidth="1"/>
    <col min="2584" max="2584" width="0" style="1078" hidden="1" customWidth="1"/>
    <col min="2585" max="2585" width="14.5703125" style="1078" customWidth="1"/>
    <col min="2586" max="2586" width="11.85546875" style="1078" customWidth="1"/>
    <col min="2587" max="2821" width="9.140625" style="1078"/>
    <col min="2822" max="2822" width="2.85546875" style="1078" customWidth="1"/>
    <col min="2823" max="2823" width="50.7109375" style="1078" customWidth="1"/>
    <col min="2824" max="2824" width="9.42578125" style="1078" customWidth="1"/>
    <col min="2825" max="2825" width="11.85546875" style="1078" customWidth="1"/>
    <col min="2826" max="2826" width="8.42578125" style="1078" bestFit="1" customWidth="1"/>
    <col min="2827" max="2829" width="0" style="1078" hidden="1" customWidth="1"/>
    <col min="2830" max="2830" width="6" style="1078" bestFit="1" customWidth="1"/>
    <col min="2831" max="2831" width="9.5703125" style="1078" customWidth="1"/>
    <col min="2832" max="2832" width="9.85546875" style="1078" customWidth="1"/>
    <col min="2833" max="2833" width="9.7109375" style="1078" customWidth="1"/>
    <col min="2834" max="2834" width="9.5703125" style="1078" customWidth="1"/>
    <col min="2835" max="2835" width="9.85546875" style="1078" customWidth="1"/>
    <col min="2836" max="2836" width="6.5703125" style="1078" customWidth="1"/>
    <col min="2837" max="2837" width="6" style="1078" bestFit="1" customWidth="1"/>
    <col min="2838" max="2838" width="6.28515625" style="1078" customWidth="1"/>
    <col min="2839" max="2839" width="11.7109375" style="1078" customWidth="1"/>
    <col min="2840" max="2840" width="0" style="1078" hidden="1" customWidth="1"/>
    <col min="2841" max="2841" width="14.5703125" style="1078" customWidth="1"/>
    <col min="2842" max="2842" width="11.85546875" style="1078" customWidth="1"/>
    <col min="2843" max="3077" width="9.140625" style="1078"/>
    <col min="3078" max="3078" width="2.85546875" style="1078" customWidth="1"/>
    <col min="3079" max="3079" width="50.7109375" style="1078" customWidth="1"/>
    <col min="3080" max="3080" width="9.42578125" style="1078" customWidth="1"/>
    <col min="3081" max="3081" width="11.85546875" style="1078" customWidth="1"/>
    <col min="3082" max="3082" width="8.42578125" style="1078" bestFit="1" customWidth="1"/>
    <col min="3083" max="3085" width="0" style="1078" hidden="1" customWidth="1"/>
    <col min="3086" max="3086" width="6" style="1078" bestFit="1" customWidth="1"/>
    <col min="3087" max="3087" width="9.5703125" style="1078" customWidth="1"/>
    <col min="3088" max="3088" width="9.85546875" style="1078" customWidth="1"/>
    <col min="3089" max="3089" width="9.7109375" style="1078" customWidth="1"/>
    <col min="3090" max="3090" width="9.5703125" style="1078" customWidth="1"/>
    <col min="3091" max="3091" width="9.85546875" style="1078" customWidth="1"/>
    <col min="3092" max="3092" width="6.5703125" style="1078" customWidth="1"/>
    <col min="3093" max="3093" width="6" style="1078" bestFit="1" customWidth="1"/>
    <col min="3094" max="3094" width="6.28515625" style="1078" customWidth="1"/>
    <col min="3095" max="3095" width="11.7109375" style="1078" customWidth="1"/>
    <col min="3096" max="3096" width="0" style="1078" hidden="1" customWidth="1"/>
    <col min="3097" max="3097" width="14.5703125" style="1078" customWidth="1"/>
    <col min="3098" max="3098" width="11.85546875" style="1078" customWidth="1"/>
    <col min="3099" max="3333" width="9.140625" style="1078"/>
    <col min="3334" max="3334" width="2.85546875" style="1078" customWidth="1"/>
    <col min="3335" max="3335" width="50.7109375" style="1078" customWidth="1"/>
    <col min="3336" max="3336" width="9.42578125" style="1078" customWidth="1"/>
    <col min="3337" max="3337" width="11.85546875" style="1078" customWidth="1"/>
    <col min="3338" max="3338" width="8.42578125" style="1078" bestFit="1" customWidth="1"/>
    <col min="3339" max="3341" width="0" style="1078" hidden="1" customWidth="1"/>
    <col min="3342" max="3342" width="6" style="1078" bestFit="1" customWidth="1"/>
    <col min="3343" max="3343" width="9.5703125" style="1078" customWidth="1"/>
    <col min="3344" max="3344" width="9.85546875" style="1078" customWidth="1"/>
    <col min="3345" max="3345" width="9.7109375" style="1078" customWidth="1"/>
    <col min="3346" max="3346" width="9.5703125" style="1078" customWidth="1"/>
    <col min="3347" max="3347" width="9.85546875" style="1078" customWidth="1"/>
    <col min="3348" max="3348" width="6.5703125" style="1078" customWidth="1"/>
    <col min="3349" max="3349" width="6" style="1078" bestFit="1" customWidth="1"/>
    <col min="3350" max="3350" width="6.28515625" style="1078" customWidth="1"/>
    <col min="3351" max="3351" width="11.7109375" style="1078" customWidth="1"/>
    <col min="3352" max="3352" width="0" style="1078" hidden="1" customWidth="1"/>
    <col min="3353" max="3353" width="14.5703125" style="1078" customWidth="1"/>
    <col min="3354" max="3354" width="11.85546875" style="1078" customWidth="1"/>
    <col min="3355" max="3589" width="9.140625" style="1078"/>
    <col min="3590" max="3590" width="2.85546875" style="1078" customWidth="1"/>
    <col min="3591" max="3591" width="50.7109375" style="1078" customWidth="1"/>
    <col min="3592" max="3592" width="9.42578125" style="1078" customWidth="1"/>
    <col min="3593" max="3593" width="11.85546875" style="1078" customWidth="1"/>
    <col min="3594" max="3594" width="8.42578125" style="1078" bestFit="1" customWidth="1"/>
    <col min="3595" max="3597" width="0" style="1078" hidden="1" customWidth="1"/>
    <col min="3598" max="3598" width="6" style="1078" bestFit="1" customWidth="1"/>
    <col min="3599" max="3599" width="9.5703125" style="1078" customWidth="1"/>
    <col min="3600" max="3600" width="9.85546875" style="1078" customWidth="1"/>
    <col min="3601" max="3601" width="9.7109375" style="1078" customWidth="1"/>
    <col min="3602" max="3602" width="9.5703125" style="1078" customWidth="1"/>
    <col min="3603" max="3603" width="9.85546875" style="1078" customWidth="1"/>
    <col min="3604" max="3604" width="6.5703125" style="1078" customWidth="1"/>
    <col min="3605" max="3605" width="6" style="1078" bestFit="1" customWidth="1"/>
    <col min="3606" max="3606" width="6.28515625" style="1078" customWidth="1"/>
    <col min="3607" max="3607" width="11.7109375" style="1078" customWidth="1"/>
    <col min="3608" max="3608" width="0" style="1078" hidden="1" customWidth="1"/>
    <col min="3609" max="3609" width="14.5703125" style="1078" customWidth="1"/>
    <col min="3610" max="3610" width="11.85546875" style="1078" customWidth="1"/>
    <col min="3611" max="3845" width="9.140625" style="1078"/>
    <col min="3846" max="3846" width="2.85546875" style="1078" customWidth="1"/>
    <col min="3847" max="3847" width="50.7109375" style="1078" customWidth="1"/>
    <col min="3848" max="3848" width="9.42578125" style="1078" customWidth="1"/>
    <col min="3849" max="3849" width="11.85546875" style="1078" customWidth="1"/>
    <col min="3850" max="3850" width="8.42578125" style="1078" bestFit="1" customWidth="1"/>
    <col min="3851" max="3853" width="0" style="1078" hidden="1" customWidth="1"/>
    <col min="3854" max="3854" width="6" style="1078" bestFit="1" customWidth="1"/>
    <col min="3855" max="3855" width="9.5703125" style="1078" customWidth="1"/>
    <col min="3856" max="3856" width="9.85546875" style="1078" customWidth="1"/>
    <col min="3857" max="3857" width="9.7109375" style="1078" customWidth="1"/>
    <col min="3858" max="3858" width="9.5703125" style="1078" customWidth="1"/>
    <col min="3859" max="3859" width="9.85546875" style="1078" customWidth="1"/>
    <col min="3860" max="3860" width="6.5703125" style="1078" customWidth="1"/>
    <col min="3861" max="3861" width="6" style="1078" bestFit="1" customWidth="1"/>
    <col min="3862" max="3862" width="6.28515625" style="1078" customWidth="1"/>
    <col min="3863" max="3863" width="11.7109375" style="1078" customWidth="1"/>
    <col min="3864" max="3864" width="0" style="1078" hidden="1" customWidth="1"/>
    <col min="3865" max="3865" width="14.5703125" style="1078" customWidth="1"/>
    <col min="3866" max="3866" width="11.85546875" style="1078" customWidth="1"/>
    <col min="3867" max="4101" width="9.140625" style="1078"/>
    <col min="4102" max="4102" width="2.85546875" style="1078" customWidth="1"/>
    <col min="4103" max="4103" width="50.7109375" style="1078" customWidth="1"/>
    <col min="4104" max="4104" width="9.42578125" style="1078" customWidth="1"/>
    <col min="4105" max="4105" width="11.85546875" style="1078" customWidth="1"/>
    <col min="4106" max="4106" width="8.42578125" style="1078" bestFit="1" customWidth="1"/>
    <col min="4107" max="4109" width="0" style="1078" hidden="1" customWidth="1"/>
    <col min="4110" max="4110" width="6" style="1078" bestFit="1" customWidth="1"/>
    <col min="4111" max="4111" width="9.5703125" style="1078" customWidth="1"/>
    <col min="4112" max="4112" width="9.85546875" style="1078" customWidth="1"/>
    <col min="4113" max="4113" width="9.7109375" style="1078" customWidth="1"/>
    <col min="4114" max="4114" width="9.5703125" style="1078" customWidth="1"/>
    <col min="4115" max="4115" width="9.85546875" style="1078" customWidth="1"/>
    <col min="4116" max="4116" width="6.5703125" style="1078" customWidth="1"/>
    <col min="4117" max="4117" width="6" style="1078" bestFit="1" customWidth="1"/>
    <col min="4118" max="4118" width="6.28515625" style="1078" customWidth="1"/>
    <col min="4119" max="4119" width="11.7109375" style="1078" customWidth="1"/>
    <col min="4120" max="4120" width="0" style="1078" hidden="1" customWidth="1"/>
    <col min="4121" max="4121" width="14.5703125" style="1078" customWidth="1"/>
    <col min="4122" max="4122" width="11.85546875" style="1078" customWidth="1"/>
    <col min="4123" max="4357" width="9.140625" style="1078"/>
    <col min="4358" max="4358" width="2.85546875" style="1078" customWidth="1"/>
    <col min="4359" max="4359" width="50.7109375" style="1078" customWidth="1"/>
    <col min="4360" max="4360" width="9.42578125" style="1078" customWidth="1"/>
    <col min="4361" max="4361" width="11.85546875" style="1078" customWidth="1"/>
    <col min="4362" max="4362" width="8.42578125" style="1078" bestFit="1" customWidth="1"/>
    <col min="4363" max="4365" width="0" style="1078" hidden="1" customWidth="1"/>
    <col min="4366" max="4366" width="6" style="1078" bestFit="1" customWidth="1"/>
    <col min="4367" max="4367" width="9.5703125" style="1078" customWidth="1"/>
    <col min="4368" max="4368" width="9.85546875" style="1078" customWidth="1"/>
    <col min="4369" max="4369" width="9.7109375" style="1078" customWidth="1"/>
    <col min="4370" max="4370" width="9.5703125" style="1078" customWidth="1"/>
    <col min="4371" max="4371" width="9.85546875" style="1078" customWidth="1"/>
    <col min="4372" max="4372" width="6.5703125" style="1078" customWidth="1"/>
    <col min="4373" max="4373" width="6" style="1078" bestFit="1" customWidth="1"/>
    <col min="4374" max="4374" width="6.28515625" style="1078" customWidth="1"/>
    <col min="4375" max="4375" width="11.7109375" style="1078" customWidth="1"/>
    <col min="4376" max="4376" width="0" style="1078" hidden="1" customWidth="1"/>
    <col min="4377" max="4377" width="14.5703125" style="1078" customWidth="1"/>
    <col min="4378" max="4378" width="11.85546875" style="1078" customWidth="1"/>
    <col min="4379" max="4613" width="9.140625" style="1078"/>
    <col min="4614" max="4614" width="2.85546875" style="1078" customWidth="1"/>
    <col min="4615" max="4615" width="50.7109375" style="1078" customWidth="1"/>
    <col min="4616" max="4616" width="9.42578125" style="1078" customWidth="1"/>
    <col min="4617" max="4617" width="11.85546875" style="1078" customWidth="1"/>
    <col min="4618" max="4618" width="8.42578125" style="1078" bestFit="1" customWidth="1"/>
    <col min="4619" max="4621" width="0" style="1078" hidden="1" customWidth="1"/>
    <col min="4622" max="4622" width="6" style="1078" bestFit="1" customWidth="1"/>
    <col min="4623" max="4623" width="9.5703125" style="1078" customWidth="1"/>
    <col min="4624" max="4624" width="9.85546875" style="1078" customWidth="1"/>
    <col min="4625" max="4625" width="9.7109375" style="1078" customWidth="1"/>
    <col min="4626" max="4626" width="9.5703125" style="1078" customWidth="1"/>
    <col min="4627" max="4627" width="9.85546875" style="1078" customWidth="1"/>
    <col min="4628" max="4628" width="6.5703125" style="1078" customWidth="1"/>
    <col min="4629" max="4629" width="6" style="1078" bestFit="1" customWidth="1"/>
    <col min="4630" max="4630" width="6.28515625" style="1078" customWidth="1"/>
    <col min="4631" max="4631" width="11.7109375" style="1078" customWidth="1"/>
    <col min="4632" max="4632" width="0" style="1078" hidden="1" customWidth="1"/>
    <col min="4633" max="4633" width="14.5703125" style="1078" customWidth="1"/>
    <col min="4634" max="4634" width="11.85546875" style="1078" customWidth="1"/>
    <col min="4635" max="4869" width="9.140625" style="1078"/>
    <col min="4870" max="4870" width="2.85546875" style="1078" customWidth="1"/>
    <col min="4871" max="4871" width="50.7109375" style="1078" customWidth="1"/>
    <col min="4872" max="4872" width="9.42578125" style="1078" customWidth="1"/>
    <col min="4873" max="4873" width="11.85546875" style="1078" customWidth="1"/>
    <col min="4874" max="4874" width="8.42578125" style="1078" bestFit="1" customWidth="1"/>
    <col min="4875" max="4877" width="0" style="1078" hidden="1" customWidth="1"/>
    <col min="4878" max="4878" width="6" style="1078" bestFit="1" customWidth="1"/>
    <col min="4879" max="4879" width="9.5703125" style="1078" customWidth="1"/>
    <col min="4880" max="4880" width="9.85546875" style="1078" customWidth="1"/>
    <col min="4881" max="4881" width="9.7109375" style="1078" customWidth="1"/>
    <col min="4882" max="4882" width="9.5703125" style="1078" customWidth="1"/>
    <col min="4883" max="4883" width="9.85546875" style="1078" customWidth="1"/>
    <col min="4884" max="4884" width="6.5703125" style="1078" customWidth="1"/>
    <col min="4885" max="4885" width="6" style="1078" bestFit="1" customWidth="1"/>
    <col min="4886" max="4886" width="6.28515625" style="1078" customWidth="1"/>
    <col min="4887" max="4887" width="11.7109375" style="1078" customWidth="1"/>
    <col min="4888" max="4888" width="0" style="1078" hidden="1" customWidth="1"/>
    <col min="4889" max="4889" width="14.5703125" style="1078" customWidth="1"/>
    <col min="4890" max="4890" width="11.85546875" style="1078" customWidth="1"/>
    <col min="4891" max="5125" width="9.140625" style="1078"/>
    <col min="5126" max="5126" width="2.85546875" style="1078" customWidth="1"/>
    <col min="5127" max="5127" width="50.7109375" style="1078" customWidth="1"/>
    <col min="5128" max="5128" width="9.42578125" style="1078" customWidth="1"/>
    <col min="5129" max="5129" width="11.85546875" style="1078" customWidth="1"/>
    <col min="5130" max="5130" width="8.42578125" style="1078" bestFit="1" customWidth="1"/>
    <col min="5131" max="5133" width="0" style="1078" hidden="1" customWidth="1"/>
    <col min="5134" max="5134" width="6" style="1078" bestFit="1" customWidth="1"/>
    <col min="5135" max="5135" width="9.5703125" style="1078" customWidth="1"/>
    <col min="5136" max="5136" width="9.85546875" style="1078" customWidth="1"/>
    <col min="5137" max="5137" width="9.7109375" style="1078" customWidth="1"/>
    <col min="5138" max="5138" width="9.5703125" style="1078" customWidth="1"/>
    <col min="5139" max="5139" width="9.85546875" style="1078" customWidth="1"/>
    <col min="5140" max="5140" width="6.5703125" style="1078" customWidth="1"/>
    <col min="5141" max="5141" width="6" style="1078" bestFit="1" customWidth="1"/>
    <col min="5142" max="5142" width="6.28515625" style="1078" customWidth="1"/>
    <col min="5143" max="5143" width="11.7109375" style="1078" customWidth="1"/>
    <col min="5144" max="5144" width="0" style="1078" hidden="1" customWidth="1"/>
    <col min="5145" max="5145" width="14.5703125" style="1078" customWidth="1"/>
    <col min="5146" max="5146" width="11.85546875" style="1078" customWidth="1"/>
    <col min="5147" max="5381" width="9.140625" style="1078"/>
    <col min="5382" max="5382" width="2.85546875" style="1078" customWidth="1"/>
    <col min="5383" max="5383" width="50.7109375" style="1078" customWidth="1"/>
    <col min="5384" max="5384" width="9.42578125" style="1078" customWidth="1"/>
    <col min="5385" max="5385" width="11.85546875" style="1078" customWidth="1"/>
    <col min="5386" max="5386" width="8.42578125" style="1078" bestFit="1" customWidth="1"/>
    <col min="5387" max="5389" width="0" style="1078" hidden="1" customWidth="1"/>
    <col min="5390" max="5390" width="6" style="1078" bestFit="1" customWidth="1"/>
    <col min="5391" max="5391" width="9.5703125" style="1078" customWidth="1"/>
    <col min="5392" max="5392" width="9.85546875" style="1078" customWidth="1"/>
    <col min="5393" max="5393" width="9.7109375" style="1078" customWidth="1"/>
    <col min="5394" max="5394" width="9.5703125" style="1078" customWidth="1"/>
    <col min="5395" max="5395" width="9.85546875" style="1078" customWidth="1"/>
    <col min="5396" max="5396" width="6.5703125" style="1078" customWidth="1"/>
    <col min="5397" max="5397" width="6" style="1078" bestFit="1" customWidth="1"/>
    <col min="5398" max="5398" width="6.28515625" style="1078" customWidth="1"/>
    <col min="5399" max="5399" width="11.7109375" style="1078" customWidth="1"/>
    <col min="5400" max="5400" width="0" style="1078" hidden="1" customWidth="1"/>
    <col min="5401" max="5401" width="14.5703125" style="1078" customWidth="1"/>
    <col min="5402" max="5402" width="11.85546875" style="1078" customWidth="1"/>
    <col min="5403" max="5637" width="9.140625" style="1078"/>
    <col min="5638" max="5638" width="2.85546875" style="1078" customWidth="1"/>
    <col min="5639" max="5639" width="50.7109375" style="1078" customWidth="1"/>
    <col min="5640" max="5640" width="9.42578125" style="1078" customWidth="1"/>
    <col min="5641" max="5641" width="11.85546875" style="1078" customWidth="1"/>
    <col min="5642" max="5642" width="8.42578125" style="1078" bestFit="1" customWidth="1"/>
    <col min="5643" max="5645" width="0" style="1078" hidden="1" customWidth="1"/>
    <col min="5646" max="5646" width="6" style="1078" bestFit="1" customWidth="1"/>
    <col min="5647" max="5647" width="9.5703125" style="1078" customWidth="1"/>
    <col min="5648" max="5648" width="9.85546875" style="1078" customWidth="1"/>
    <col min="5649" max="5649" width="9.7109375" style="1078" customWidth="1"/>
    <col min="5650" max="5650" width="9.5703125" style="1078" customWidth="1"/>
    <col min="5651" max="5651" width="9.85546875" style="1078" customWidth="1"/>
    <col min="5652" max="5652" width="6.5703125" style="1078" customWidth="1"/>
    <col min="5653" max="5653" width="6" style="1078" bestFit="1" customWidth="1"/>
    <col min="5654" max="5654" width="6.28515625" style="1078" customWidth="1"/>
    <col min="5655" max="5655" width="11.7109375" style="1078" customWidth="1"/>
    <col min="5656" max="5656" width="0" style="1078" hidden="1" customWidth="1"/>
    <col min="5657" max="5657" width="14.5703125" style="1078" customWidth="1"/>
    <col min="5658" max="5658" width="11.85546875" style="1078" customWidth="1"/>
    <col min="5659" max="5893" width="9.140625" style="1078"/>
    <col min="5894" max="5894" width="2.85546875" style="1078" customWidth="1"/>
    <col min="5895" max="5895" width="50.7109375" style="1078" customWidth="1"/>
    <col min="5896" max="5896" width="9.42578125" style="1078" customWidth="1"/>
    <col min="5897" max="5897" width="11.85546875" style="1078" customWidth="1"/>
    <col min="5898" max="5898" width="8.42578125" style="1078" bestFit="1" customWidth="1"/>
    <col min="5899" max="5901" width="0" style="1078" hidden="1" customWidth="1"/>
    <col min="5902" max="5902" width="6" style="1078" bestFit="1" customWidth="1"/>
    <col min="5903" max="5903" width="9.5703125" style="1078" customWidth="1"/>
    <col min="5904" max="5904" width="9.85546875" style="1078" customWidth="1"/>
    <col min="5905" max="5905" width="9.7109375" style="1078" customWidth="1"/>
    <col min="5906" max="5906" width="9.5703125" style="1078" customWidth="1"/>
    <col min="5907" max="5907" width="9.85546875" style="1078" customWidth="1"/>
    <col min="5908" max="5908" width="6.5703125" style="1078" customWidth="1"/>
    <col min="5909" max="5909" width="6" style="1078" bestFit="1" customWidth="1"/>
    <col min="5910" max="5910" width="6.28515625" style="1078" customWidth="1"/>
    <col min="5911" max="5911" width="11.7109375" style="1078" customWidth="1"/>
    <col min="5912" max="5912" width="0" style="1078" hidden="1" customWidth="1"/>
    <col min="5913" max="5913" width="14.5703125" style="1078" customWidth="1"/>
    <col min="5914" max="5914" width="11.85546875" style="1078" customWidth="1"/>
    <col min="5915" max="6149" width="9.140625" style="1078"/>
    <col min="6150" max="6150" width="2.85546875" style="1078" customWidth="1"/>
    <col min="6151" max="6151" width="50.7109375" style="1078" customWidth="1"/>
    <col min="6152" max="6152" width="9.42578125" style="1078" customWidth="1"/>
    <col min="6153" max="6153" width="11.85546875" style="1078" customWidth="1"/>
    <col min="6154" max="6154" width="8.42578125" style="1078" bestFit="1" customWidth="1"/>
    <col min="6155" max="6157" width="0" style="1078" hidden="1" customWidth="1"/>
    <col min="6158" max="6158" width="6" style="1078" bestFit="1" customWidth="1"/>
    <col min="6159" max="6159" width="9.5703125" style="1078" customWidth="1"/>
    <col min="6160" max="6160" width="9.85546875" style="1078" customWidth="1"/>
    <col min="6161" max="6161" width="9.7109375" style="1078" customWidth="1"/>
    <col min="6162" max="6162" width="9.5703125" style="1078" customWidth="1"/>
    <col min="6163" max="6163" width="9.85546875" style="1078" customWidth="1"/>
    <col min="6164" max="6164" width="6.5703125" style="1078" customWidth="1"/>
    <col min="6165" max="6165" width="6" style="1078" bestFit="1" customWidth="1"/>
    <col min="6166" max="6166" width="6.28515625" style="1078" customWidth="1"/>
    <col min="6167" max="6167" width="11.7109375" style="1078" customWidth="1"/>
    <col min="6168" max="6168" width="0" style="1078" hidden="1" customWidth="1"/>
    <col min="6169" max="6169" width="14.5703125" style="1078" customWidth="1"/>
    <col min="6170" max="6170" width="11.85546875" style="1078" customWidth="1"/>
    <col min="6171" max="6405" width="9.140625" style="1078"/>
    <col min="6406" max="6406" width="2.85546875" style="1078" customWidth="1"/>
    <col min="6407" max="6407" width="50.7109375" style="1078" customWidth="1"/>
    <col min="6408" max="6408" width="9.42578125" style="1078" customWidth="1"/>
    <col min="6409" max="6409" width="11.85546875" style="1078" customWidth="1"/>
    <col min="6410" max="6410" width="8.42578125" style="1078" bestFit="1" customWidth="1"/>
    <col min="6411" max="6413" width="0" style="1078" hidden="1" customWidth="1"/>
    <col min="6414" max="6414" width="6" style="1078" bestFit="1" customWidth="1"/>
    <col min="6415" max="6415" width="9.5703125" style="1078" customWidth="1"/>
    <col min="6416" max="6416" width="9.85546875" style="1078" customWidth="1"/>
    <col min="6417" max="6417" width="9.7109375" style="1078" customWidth="1"/>
    <col min="6418" max="6418" width="9.5703125" style="1078" customWidth="1"/>
    <col min="6419" max="6419" width="9.85546875" style="1078" customWidth="1"/>
    <col min="6420" max="6420" width="6.5703125" style="1078" customWidth="1"/>
    <col min="6421" max="6421" width="6" style="1078" bestFit="1" customWidth="1"/>
    <col min="6422" max="6422" width="6.28515625" style="1078" customWidth="1"/>
    <col min="6423" max="6423" width="11.7109375" style="1078" customWidth="1"/>
    <col min="6424" max="6424" width="0" style="1078" hidden="1" customWidth="1"/>
    <col min="6425" max="6425" width="14.5703125" style="1078" customWidth="1"/>
    <col min="6426" max="6426" width="11.85546875" style="1078" customWidth="1"/>
    <col min="6427" max="6661" width="9.140625" style="1078"/>
    <col min="6662" max="6662" width="2.85546875" style="1078" customWidth="1"/>
    <col min="6663" max="6663" width="50.7109375" style="1078" customWidth="1"/>
    <col min="6664" max="6664" width="9.42578125" style="1078" customWidth="1"/>
    <col min="6665" max="6665" width="11.85546875" style="1078" customWidth="1"/>
    <col min="6666" max="6666" width="8.42578125" style="1078" bestFit="1" customWidth="1"/>
    <col min="6667" max="6669" width="0" style="1078" hidden="1" customWidth="1"/>
    <col min="6670" max="6670" width="6" style="1078" bestFit="1" customWidth="1"/>
    <col min="6671" max="6671" width="9.5703125" style="1078" customWidth="1"/>
    <col min="6672" max="6672" width="9.85546875" style="1078" customWidth="1"/>
    <col min="6673" max="6673" width="9.7109375" style="1078" customWidth="1"/>
    <col min="6674" max="6674" width="9.5703125" style="1078" customWidth="1"/>
    <col min="6675" max="6675" width="9.85546875" style="1078" customWidth="1"/>
    <col min="6676" max="6676" width="6.5703125" style="1078" customWidth="1"/>
    <col min="6677" max="6677" width="6" style="1078" bestFit="1" customWidth="1"/>
    <col min="6678" max="6678" width="6.28515625" style="1078" customWidth="1"/>
    <col min="6679" max="6679" width="11.7109375" style="1078" customWidth="1"/>
    <col min="6680" max="6680" width="0" style="1078" hidden="1" customWidth="1"/>
    <col min="6681" max="6681" width="14.5703125" style="1078" customWidth="1"/>
    <col min="6682" max="6682" width="11.85546875" style="1078" customWidth="1"/>
    <col min="6683" max="6917" width="9.140625" style="1078"/>
    <col min="6918" max="6918" width="2.85546875" style="1078" customWidth="1"/>
    <col min="6919" max="6919" width="50.7109375" style="1078" customWidth="1"/>
    <col min="6920" max="6920" width="9.42578125" style="1078" customWidth="1"/>
    <col min="6921" max="6921" width="11.85546875" style="1078" customWidth="1"/>
    <col min="6922" max="6922" width="8.42578125" style="1078" bestFit="1" customWidth="1"/>
    <col min="6923" max="6925" width="0" style="1078" hidden="1" customWidth="1"/>
    <col min="6926" max="6926" width="6" style="1078" bestFit="1" customWidth="1"/>
    <col min="6927" max="6927" width="9.5703125" style="1078" customWidth="1"/>
    <col min="6928" max="6928" width="9.85546875" style="1078" customWidth="1"/>
    <col min="6929" max="6929" width="9.7109375" style="1078" customWidth="1"/>
    <col min="6930" max="6930" width="9.5703125" style="1078" customWidth="1"/>
    <col min="6931" max="6931" width="9.85546875" style="1078" customWidth="1"/>
    <col min="6932" max="6932" width="6.5703125" style="1078" customWidth="1"/>
    <col min="6933" max="6933" width="6" style="1078" bestFit="1" customWidth="1"/>
    <col min="6934" max="6934" width="6.28515625" style="1078" customWidth="1"/>
    <col min="6935" max="6935" width="11.7109375" style="1078" customWidth="1"/>
    <col min="6936" max="6936" width="0" style="1078" hidden="1" customWidth="1"/>
    <col min="6937" max="6937" width="14.5703125" style="1078" customWidth="1"/>
    <col min="6938" max="6938" width="11.85546875" style="1078" customWidth="1"/>
    <col min="6939" max="7173" width="9.140625" style="1078"/>
    <col min="7174" max="7174" width="2.85546875" style="1078" customWidth="1"/>
    <col min="7175" max="7175" width="50.7109375" style="1078" customWidth="1"/>
    <col min="7176" max="7176" width="9.42578125" style="1078" customWidth="1"/>
    <col min="7177" max="7177" width="11.85546875" style="1078" customWidth="1"/>
    <col min="7178" max="7178" width="8.42578125" style="1078" bestFit="1" customWidth="1"/>
    <col min="7179" max="7181" width="0" style="1078" hidden="1" customWidth="1"/>
    <col min="7182" max="7182" width="6" style="1078" bestFit="1" customWidth="1"/>
    <col min="7183" max="7183" width="9.5703125" style="1078" customWidth="1"/>
    <col min="7184" max="7184" width="9.85546875" style="1078" customWidth="1"/>
    <col min="7185" max="7185" width="9.7109375" style="1078" customWidth="1"/>
    <col min="7186" max="7186" width="9.5703125" style="1078" customWidth="1"/>
    <col min="7187" max="7187" width="9.85546875" style="1078" customWidth="1"/>
    <col min="7188" max="7188" width="6.5703125" style="1078" customWidth="1"/>
    <col min="7189" max="7189" width="6" style="1078" bestFit="1" customWidth="1"/>
    <col min="7190" max="7190" width="6.28515625" style="1078" customWidth="1"/>
    <col min="7191" max="7191" width="11.7109375" style="1078" customWidth="1"/>
    <col min="7192" max="7192" width="0" style="1078" hidden="1" customWidth="1"/>
    <col min="7193" max="7193" width="14.5703125" style="1078" customWidth="1"/>
    <col min="7194" max="7194" width="11.85546875" style="1078" customWidth="1"/>
    <col min="7195" max="7429" width="9.140625" style="1078"/>
    <col min="7430" max="7430" width="2.85546875" style="1078" customWidth="1"/>
    <col min="7431" max="7431" width="50.7109375" style="1078" customWidth="1"/>
    <col min="7432" max="7432" width="9.42578125" style="1078" customWidth="1"/>
    <col min="7433" max="7433" width="11.85546875" style="1078" customWidth="1"/>
    <col min="7434" max="7434" width="8.42578125" style="1078" bestFit="1" customWidth="1"/>
    <col min="7435" max="7437" width="0" style="1078" hidden="1" customWidth="1"/>
    <col min="7438" max="7438" width="6" style="1078" bestFit="1" customWidth="1"/>
    <col min="7439" max="7439" width="9.5703125" style="1078" customWidth="1"/>
    <col min="7440" max="7440" width="9.85546875" style="1078" customWidth="1"/>
    <col min="7441" max="7441" width="9.7109375" style="1078" customWidth="1"/>
    <col min="7442" max="7442" width="9.5703125" style="1078" customWidth="1"/>
    <col min="7443" max="7443" width="9.85546875" style="1078" customWidth="1"/>
    <col min="7444" max="7444" width="6.5703125" style="1078" customWidth="1"/>
    <col min="7445" max="7445" width="6" style="1078" bestFit="1" customWidth="1"/>
    <col min="7446" max="7446" width="6.28515625" style="1078" customWidth="1"/>
    <col min="7447" max="7447" width="11.7109375" style="1078" customWidth="1"/>
    <col min="7448" max="7448" width="0" style="1078" hidden="1" customWidth="1"/>
    <col min="7449" max="7449" width="14.5703125" style="1078" customWidth="1"/>
    <col min="7450" max="7450" width="11.85546875" style="1078" customWidth="1"/>
    <col min="7451" max="7685" width="9.140625" style="1078"/>
    <col min="7686" max="7686" width="2.85546875" style="1078" customWidth="1"/>
    <col min="7687" max="7687" width="50.7109375" style="1078" customWidth="1"/>
    <col min="7688" max="7688" width="9.42578125" style="1078" customWidth="1"/>
    <col min="7689" max="7689" width="11.85546875" style="1078" customWidth="1"/>
    <col min="7690" max="7690" width="8.42578125" style="1078" bestFit="1" customWidth="1"/>
    <col min="7691" max="7693" width="0" style="1078" hidden="1" customWidth="1"/>
    <col min="7694" max="7694" width="6" style="1078" bestFit="1" customWidth="1"/>
    <col min="7695" max="7695" width="9.5703125" style="1078" customWidth="1"/>
    <col min="7696" max="7696" width="9.85546875" style="1078" customWidth="1"/>
    <col min="7697" max="7697" width="9.7109375" style="1078" customWidth="1"/>
    <col min="7698" max="7698" width="9.5703125" style="1078" customWidth="1"/>
    <col min="7699" max="7699" width="9.85546875" style="1078" customWidth="1"/>
    <col min="7700" max="7700" width="6.5703125" style="1078" customWidth="1"/>
    <col min="7701" max="7701" width="6" style="1078" bestFit="1" customWidth="1"/>
    <col min="7702" max="7702" width="6.28515625" style="1078" customWidth="1"/>
    <col min="7703" max="7703" width="11.7109375" style="1078" customWidth="1"/>
    <col min="7704" max="7704" width="0" style="1078" hidden="1" customWidth="1"/>
    <col min="7705" max="7705" width="14.5703125" style="1078" customWidth="1"/>
    <col min="7706" max="7706" width="11.85546875" style="1078" customWidth="1"/>
    <col min="7707" max="7941" width="9.140625" style="1078"/>
    <col min="7942" max="7942" width="2.85546875" style="1078" customWidth="1"/>
    <col min="7943" max="7943" width="50.7109375" style="1078" customWidth="1"/>
    <col min="7944" max="7944" width="9.42578125" style="1078" customWidth="1"/>
    <col min="7945" max="7945" width="11.85546875" style="1078" customWidth="1"/>
    <col min="7946" max="7946" width="8.42578125" style="1078" bestFit="1" customWidth="1"/>
    <col min="7947" max="7949" width="0" style="1078" hidden="1" customWidth="1"/>
    <col min="7950" max="7950" width="6" style="1078" bestFit="1" customWidth="1"/>
    <col min="7951" max="7951" width="9.5703125" style="1078" customWidth="1"/>
    <col min="7952" max="7952" width="9.85546875" style="1078" customWidth="1"/>
    <col min="7953" max="7953" width="9.7109375" style="1078" customWidth="1"/>
    <col min="7954" max="7954" width="9.5703125" style="1078" customWidth="1"/>
    <col min="7955" max="7955" width="9.85546875" style="1078" customWidth="1"/>
    <col min="7956" max="7956" width="6.5703125" style="1078" customWidth="1"/>
    <col min="7957" max="7957" width="6" style="1078" bestFit="1" customWidth="1"/>
    <col min="7958" max="7958" width="6.28515625" style="1078" customWidth="1"/>
    <col min="7959" max="7959" width="11.7109375" style="1078" customWidth="1"/>
    <col min="7960" max="7960" width="0" style="1078" hidden="1" customWidth="1"/>
    <col min="7961" max="7961" width="14.5703125" style="1078" customWidth="1"/>
    <col min="7962" max="7962" width="11.85546875" style="1078" customWidth="1"/>
    <col min="7963" max="8197" width="9.140625" style="1078"/>
    <col min="8198" max="8198" width="2.85546875" style="1078" customWidth="1"/>
    <col min="8199" max="8199" width="50.7109375" style="1078" customWidth="1"/>
    <col min="8200" max="8200" width="9.42578125" style="1078" customWidth="1"/>
    <col min="8201" max="8201" width="11.85546875" style="1078" customWidth="1"/>
    <col min="8202" max="8202" width="8.42578125" style="1078" bestFit="1" customWidth="1"/>
    <col min="8203" max="8205" width="0" style="1078" hidden="1" customWidth="1"/>
    <col min="8206" max="8206" width="6" style="1078" bestFit="1" customWidth="1"/>
    <col min="8207" max="8207" width="9.5703125" style="1078" customWidth="1"/>
    <col min="8208" max="8208" width="9.85546875" style="1078" customWidth="1"/>
    <col min="8209" max="8209" width="9.7109375" style="1078" customWidth="1"/>
    <col min="8210" max="8210" width="9.5703125" style="1078" customWidth="1"/>
    <col min="8211" max="8211" width="9.85546875" style="1078" customWidth="1"/>
    <col min="8212" max="8212" width="6.5703125" style="1078" customWidth="1"/>
    <col min="8213" max="8213" width="6" style="1078" bestFit="1" customWidth="1"/>
    <col min="8214" max="8214" width="6.28515625" style="1078" customWidth="1"/>
    <col min="8215" max="8215" width="11.7109375" style="1078" customWidth="1"/>
    <col min="8216" max="8216" width="0" style="1078" hidden="1" customWidth="1"/>
    <col min="8217" max="8217" width="14.5703125" style="1078" customWidth="1"/>
    <col min="8218" max="8218" width="11.85546875" style="1078" customWidth="1"/>
    <col min="8219" max="8453" width="9.140625" style="1078"/>
    <col min="8454" max="8454" width="2.85546875" style="1078" customWidth="1"/>
    <col min="8455" max="8455" width="50.7109375" style="1078" customWidth="1"/>
    <col min="8456" max="8456" width="9.42578125" style="1078" customWidth="1"/>
    <col min="8457" max="8457" width="11.85546875" style="1078" customWidth="1"/>
    <col min="8458" max="8458" width="8.42578125" style="1078" bestFit="1" customWidth="1"/>
    <col min="8459" max="8461" width="0" style="1078" hidden="1" customWidth="1"/>
    <col min="8462" max="8462" width="6" style="1078" bestFit="1" customWidth="1"/>
    <col min="8463" max="8463" width="9.5703125" style="1078" customWidth="1"/>
    <col min="8464" max="8464" width="9.85546875" style="1078" customWidth="1"/>
    <col min="8465" max="8465" width="9.7109375" style="1078" customWidth="1"/>
    <col min="8466" max="8466" width="9.5703125" style="1078" customWidth="1"/>
    <col min="8467" max="8467" width="9.85546875" style="1078" customWidth="1"/>
    <col min="8468" max="8468" width="6.5703125" style="1078" customWidth="1"/>
    <col min="8469" max="8469" width="6" style="1078" bestFit="1" customWidth="1"/>
    <col min="8470" max="8470" width="6.28515625" style="1078" customWidth="1"/>
    <col min="8471" max="8471" width="11.7109375" style="1078" customWidth="1"/>
    <col min="8472" max="8472" width="0" style="1078" hidden="1" customWidth="1"/>
    <col min="8473" max="8473" width="14.5703125" style="1078" customWidth="1"/>
    <col min="8474" max="8474" width="11.85546875" style="1078" customWidth="1"/>
    <col min="8475" max="8709" width="9.140625" style="1078"/>
    <col min="8710" max="8710" width="2.85546875" style="1078" customWidth="1"/>
    <col min="8711" max="8711" width="50.7109375" style="1078" customWidth="1"/>
    <col min="8712" max="8712" width="9.42578125" style="1078" customWidth="1"/>
    <col min="8713" max="8713" width="11.85546875" style="1078" customWidth="1"/>
    <col min="8714" max="8714" width="8.42578125" style="1078" bestFit="1" customWidth="1"/>
    <col min="8715" max="8717" width="0" style="1078" hidden="1" customWidth="1"/>
    <col min="8718" max="8718" width="6" style="1078" bestFit="1" customWidth="1"/>
    <col min="8719" max="8719" width="9.5703125" style="1078" customWidth="1"/>
    <col min="8720" max="8720" width="9.85546875" style="1078" customWidth="1"/>
    <col min="8721" max="8721" width="9.7109375" style="1078" customWidth="1"/>
    <col min="8722" max="8722" width="9.5703125" style="1078" customWidth="1"/>
    <col min="8723" max="8723" width="9.85546875" style="1078" customWidth="1"/>
    <col min="8724" max="8724" width="6.5703125" style="1078" customWidth="1"/>
    <col min="8725" max="8725" width="6" style="1078" bestFit="1" customWidth="1"/>
    <col min="8726" max="8726" width="6.28515625" style="1078" customWidth="1"/>
    <col min="8727" max="8727" width="11.7109375" style="1078" customWidth="1"/>
    <col min="8728" max="8728" width="0" style="1078" hidden="1" customWidth="1"/>
    <col min="8729" max="8729" width="14.5703125" style="1078" customWidth="1"/>
    <col min="8730" max="8730" width="11.85546875" style="1078" customWidth="1"/>
    <col min="8731" max="8965" width="9.140625" style="1078"/>
    <col min="8966" max="8966" width="2.85546875" style="1078" customWidth="1"/>
    <col min="8967" max="8967" width="50.7109375" style="1078" customWidth="1"/>
    <col min="8968" max="8968" width="9.42578125" style="1078" customWidth="1"/>
    <col min="8969" max="8969" width="11.85546875" style="1078" customWidth="1"/>
    <col min="8970" max="8970" width="8.42578125" style="1078" bestFit="1" customWidth="1"/>
    <col min="8971" max="8973" width="0" style="1078" hidden="1" customWidth="1"/>
    <col min="8974" max="8974" width="6" style="1078" bestFit="1" customWidth="1"/>
    <col min="8975" max="8975" width="9.5703125" style="1078" customWidth="1"/>
    <col min="8976" max="8976" width="9.85546875" style="1078" customWidth="1"/>
    <col min="8977" max="8977" width="9.7109375" style="1078" customWidth="1"/>
    <col min="8978" max="8978" width="9.5703125" style="1078" customWidth="1"/>
    <col min="8979" max="8979" width="9.85546875" style="1078" customWidth="1"/>
    <col min="8980" max="8980" width="6.5703125" style="1078" customWidth="1"/>
    <col min="8981" max="8981" width="6" style="1078" bestFit="1" customWidth="1"/>
    <col min="8982" max="8982" width="6.28515625" style="1078" customWidth="1"/>
    <col min="8983" max="8983" width="11.7109375" style="1078" customWidth="1"/>
    <col min="8984" max="8984" width="0" style="1078" hidden="1" customWidth="1"/>
    <col min="8985" max="8985" width="14.5703125" style="1078" customWidth="1"/>
    <col min="8986" max="8986" width="11.85546875" style="1078" customWidth="1"/>
    <col min="8987" max="9221" width="9.140625" style="1078"/>
    <col min="9222" max="9222" width="2.85546875" style="1078" customWidth="1"/>
    <col min="9223" max="9223" width="50.7109375" style="1078" customWidth="1"/>
    <col min="9224" max="9224" width="9.42578125" style="1078" customWidth="1"/>
    <col min="9225" max="9225" width="11.85546875" style="1078" customWidth="1"/>
    <col min="9226" max="9226" width="8.42578125" style="1078" bestFit="1" customWidth="1"/>
    <col min="9227" max="9229" width="0" style="1078" hidden="1" customWidth="1"/>
    <col min="9230" max="9230" width="6" style="1078" bestFit="1" customWidth="1"/>
    <col min="9231" max="9231" width="9.5703125" style="1078" customWidth="1"/>
    <col min="9232" max="9232" width="9.85546875" style="1078" customWidth="1"/>
    <col min="9233" max="9233" width="9.7109375" style="1078" customWidth="1"/>
    <col min="9234" max="9234" width="9.5703125" style="1078" customWidth="1"/>
    <col min="9235" max="9235" width="9.85546875" style="1078" customWidth="1"/>
    <col min="9236" max="9236" width="6.5703125" style="1078" customWidth="1"/>
    <col min="9237" max="9237" width="6" style="1078" bestFit="1" customWidth="1"/>
    <col min="9238" max="9238" width="6.28515625" style="1078" customWidth="1"/>
    <col min="9239" max="9239" width="11.7109375" style="1078" customWidth="1"/>
    <col min="9240" max="9240" width="0" style="1078" hidden="1" customWidth="1"/>
    <col min="9241" max="9241" width="14.5703125" style="1078" customWidth="1"/>
    <col min="9242" max="9242" width="11.85546875" style="1078" customWidth="1"/>
    <col min="9243" max="9477" width="9.140625" style="1078"/>
    <col min="9478" max="9478" width="2.85546875" style="1078" customWidth="1"/>
    <col min="9479" max="9479" width="50.7109375" style="1078" customWidth="1"/>
    <col min="9480" max="9480" width="9.42578125" style="1078" customWidth="1"/>
    <col min="9481" max="9481" width="11.85546875" style="1078" customWidth="1"/>
    <col min="9482" max="9482" width="8.42578125" style="1078" bestFit="1" customWidth="1"/>
    <col min="9483" max="9485" width="0" style="1078" hidden="1" customWidth="1"/>
    <col min="9486" max="9486" width="6" style="1078" bestFit="1" customWidth="1"/>
    <col min="9487" max="9487" width="9.5703125" style="1078" customWidth="1"/>
    <col min="9488" max="9488" width="9.85546875" style="1078" customWidth="1"/>
    <col min="9489" max="9489" width="9.7109375" style="1078" customWidth="1"/>
    <col min="9490" max="9490" width="9.5703125" style="1078" customWidth="1"/>
    <col min="9491" max="9491" width="9.85546875" style="1078" customWidth="1"/>
    <col min="9492" max="9492" width="6.5703125" style="1078" customWidth="1"/>
    <col min="9493" max="9493" width="6" style="1078" bestFit="1" customWidth="1"/>
    <col min="9494" max="9494" width="6.28515625" style="1078" customWidth="1"/>
    <col min="9495" max="9495" width="11.7109375" style="1078" customWidth="1"/>
    <col min="9496" max="9496" width="0" style="1078" hidden="1" customWidth="1"/>
    <col min="9497" max="9497" width="14.5703125" style="1078" customWidth="1"/>
    <col min="9498" max="9498" width="11.85546875" style="1078" customWidth="1"/>
    <col min="9499" max="9733" width="9.140625" style="1078"/>
    <col min="9734" max="9734" width="2.85546875" style="1078" customWidth="1"/>
    <col min="9735" max="9735" width="50.7109375" style="1078" customWidth="1"/>
    <col min="9736" max="9736" width="9.42578125" style="1078" customWidth="1"/>
    <col min="9737" max="9737" width="11.85546875" style="1078" customWidth="1"/>
    <col min="9738" max="9738" width="8.42578125" style="1078" bestFit="1" customWidth="1"/>
    <col min="9739" max="9741" width="0" style="1078" hidden="1" customWidth="1"/>
    <col min="9742" max="9742" width="6" style="1078" bestFit="1" customWidth="1"/>
    <col min="9743" max="9743" width="9.5703125" style="1078" customWidth="1"/>
    <col min="9744" max="9744" width="9.85546875" style="1078" customWidth="1"/>
    <col min="9745" max="9745" width="9.7109375" style="1078" customWidth="1"/>
    <col min="9746" max="9746" width="9.5703125" style="1078" customWidth="1"/>
    <col min="9747" max="9747" width="9.85546875" style="1078" customWidth="1"/>
    <col min="9748" max="9748" width="6.5703125" style="1078" customWidth="1"/>
    <col min="9749" max="9749" width="6" style="1078" bestFit="1" customWidth="1"/>
    <col min="9750" max="9750" width="6.28515625" style="1078" customWidth="1"/>
    <col min="9751" max="9751" width="11.7109375" style="1078" customWidth="1"/>
    <col min="9752" max="9752" width="0" style="1078" hidden="1" customWidth="1"/>
    <col min="9753" max="9753" width="14.5703125" style="1078" customWidth="1"/>
    <col min="9754" max="9754" width="11.85546875" style="1078" customWidth="1"/>
    <col min="9755" max="9989" width="9.140625" style="1078"/>
    <col min="9990" max="9990" width="2.85546875" style="1078" customWidth="1"/>
    <col min="9991" max="9991" width="50.7109375" style="1078" customWidth="1"/>
    <col min="9992" max="9992" width="9.42578125" style="1078" customWidth="1"/>
    <col min="9993" max="9993" width="11.85546875" style="1078" customWidth="1"/>
    <col min="9994" max="9994" width="8.42578125" style="1078" bestFit="1" customWidth="1"/>
    <col min="9995" max="9997" width="0" style="1078" hidden="1" customWidth="1"/>
    <col min="9998" max="9998" width="6" style="1078" bestFit="1" customWidth="1"/>
    <col min="9999" max="9999" width="9.5703125" style="1078" customWidth="1"/>
    <col min="10000" max="10000" width="9.85546875" style="1078" customWidth="1"/>
    <col min="10001" max="10001" width="9.7109375" style="1078" customWidth="1"/>
    <col min="10002" max="10002" width="9.5703125" style="1078" customWidth="1"/>
    <col min="10003" max="10003" width="9.85546875" style="1078" customWidth="1"/>
    <col min="10004" max="10004" width="6.5703125" style="1078" customWidth="1"/>
    <col min="10005" max="10005" width="6" style="1078" bestFit="1" customWidth="1"/>
    <col min="10006" max="10006" width="6.28515625" style="1078" customWidth="1"/>
    <col min="10007" max="10007" width="11.7109375" style="1078" customWidth="1"/>
    <col min="10008" max="10008" width="0" style="1078" hidden="1" customWidth="1"/>
    <col min="10009" max="10009" width="14.5703125" style="1078" customWidth="1"/>
    <col min="10010" max="10010" width="11.85546875" style="1078" customWidth="1"/>
    <col min="10011" max="10245" width="9.140625" style="1078"/>
    <col min="10246" max="10246" width="2.85546875" style="1078" customWidth="1"/>
    <col min="10247" max="10247" width="50.7109375" style="1078" customWidth="1"/>
    <col min="10248" max="10248" width="9.42578125" style="1078" customWidth="1"/>
    <col min="10249" max="10249" width="11.85546875" style="1078" customWidth="1"/>
    <col min="10250" max="10250" width="8.42578125" style="1078" bestFit="1" customWidth="1"/>
    <col min="10251" max="10253" width="0" style="1078" hidden="1" customWidth="1"/>
    <col min="10254" max="10254" width="6" style="1078" bestFit="1" customWidth="1"/>
    <col min="10255" max="10255" width="9.5703125" style="1078" customWidth="1"/>
    <col min="10256" max="10256" width="9.85546875" style="1078" customWidth="1"/>
    <col min="10257" max="10257" width="9.7109375" style="1078" customWidth="1"/>
    <col min="10258" max="10258" width="9.5703125" style="1078" customWidth="1"/>
    <col min="10259" max="10259" width="9.85546875" style="1078" customWidth="1"/>
    <col min="10260" max="10260" width="6.5703125" style="1078" customWidth="1"/>
    <col min="10261" max="10261" width="6" style="1078" bestFit="1" customWidth="1"/>
    <col min="10262" max="10262" width="6.28515625" style="1078" customWidth="1"/>
    <col min="10263" max="10263" width="11.7109375" style="1078" customWidth="1"/>
    <col min="10264" max="10264" width="0" style="1078" hidden="1" customWidth="1"/>
    <col min="10265" max="10265" width="14.5703125" style="1078" customWidth="1"/>
    <col min="10266" max="10266" width="11.85546875" style="1078" customWidth="1"/>
    <col min="10267" max="10501" width="9.140625" style="1078"/>
    <col min="10502" max="10502" width="2.85546875" style="1078" customWidth="1"/>
    <col min="10503" max="10503" width="50.7109375" style="1078" customWidth="1"/>
    <col min="10504" max="10504" width="9.42578125" style="1078" customWidth="1"/>
    <col min="10505" max="10505" width="11.85546875" style="1078" customWidth="1"/>
    <col min="10506" max="10506" width="8.42578125" style="1078" bestFit="1" customWidth="1"/>
    <col min="10507" max="10509" width="0" style="1078" hidden="1" customWidth="1"/>
    <col min="10510" max="10510" width="6" style="1078" bestFit="1" customWidth="1"/>
    <col min="10511" max="10511" width="9.5703125" style="1078" customWidth="1"/>
    <col min="10512" max="10512" width="9.85546875" style="1078" customWidth="1"/>
    <col min="10513" max="10513" width="9.7109375" style="1078" customWidth="1"/>
    <col min="10514" max="10514" width="9.5703125" style="1078" customWidth="1"/>
    <col min="10515" max="10515" width="9.85546875" style="1078" customWidth="1"/>
    <col min="10516" max="10516" width="6.5703125" style="1078" customWidth="1"/>
    <col min="10517" max="10517" width="6" style="1078" bestFit="1" customWidth="1"/>
    <col min="10518" max="10518" width="6.28515625" style="1078" customWidth="1"/>
    <col min="10519" max="10519" width="11.7109375" style="1078" customWidth="1"/>
    <col min="10520" max="10520" width="0" style="1078" hidden="1" customWidth="1"/>
    <col min="10521" max="10521" width="14.5703125" style="1078" customWidth="1"/>
    <col min="10522" max="10522" width="11.85546875" style="1078" customWidth="1"/>
    <col min="10523" max="10757" width="9.140625" style="1078"/>
    <col min="10758" max="10758" width="2.85546875" style="1078" customWidth="1"/>
    <col min="10759" max="10759" width="50.7109375" style="1078" customWidth="1"/>
    <col min="10760" max="10760" width="9.42578125" style="1078" customWidth="1"/>
    <col min="10761" max="10761" width="11.85546875" style="1078" customWidth="1"/>
    <col min="10762" max="10762" width="8.42578125" style="1078" bestFit="1" customWidth="1"/>
    <col min="10763" max="10765" width="0" style="1078" hidden="1" customWidth="1"/>
    <col min="10766" max="10766" width="6" style="1078" bestFit="1" customWidth="1"/>
    <col min="10767" max="10767" width="9.5703125" style="1078" customWidth="1"/>
    <col min="10768" max="10768" width="9.85546875" style="1078" customWidth="1"/>
    <col min="10769" max="10769" width="9.7109375" style="1078" customWidth="1"/>
    <col min="10770" max="10770" width="9.5703125" style="1078" customWidth="1"/>
    <col min="10771" max="10771" width="9.85546875" style="1078" customWidth="1"/>
    <col min="10772" max="10772" width="6.5703125" style="1078" customWidth="1"/>
    <col min="10773" max="10773" width="6" style="1078" bestFit="1" customWidth="1"/>
    <col min="10774" max="10774" width="6.28515625" style="1078" customWidth="1"/>
    <col min="10775" max="10775" width="11.7109375" style="1078" customWidth="1"/>
    <col min="10776" max="10776" width="0" style="1078" hidden="1" customWidth="1"/>
    <col min="10777" max="10777" width="14.5703125" style="1078" customWidth="1"/>
    <col min="10778" max="10778" width="11.85546875" style="1078" customWidth="1"/>
    <col min="10779" max="11013" width="9.140625" style="1078"/>
    <col min="11014" max="11014" width="2.85546875" style="1078" customWidth="1"/>
    <col min="11015" max="11015" width="50.7109375" style="1078" customWidth="1"/>
    <col min="11016" max="11016" width="9.42578125" style="1078" customWidth="1"/>
    <col min="11017" max="11017" width="11.85546875" style="1078" customWidth="1"/>
    <col min="11018" max="11018" width="8.42578125" style="1078" bestFit="1" customWidth="1"/>
    <col min="11019" max="11021" width="0" style="1078" hidden="1" customWidth="1"/>
    <col min="11022" max="11022" width="6" style="1078" bestFit="1" customWidth="1"/>
    <col min="11023" max="11023" width="9.5703125" style="1078" customWidth="1"/>
    <col min="11024" max="11024" width="9.85546875" style="1078" customWidth="1"/>
    <col min="11025" max="11025" width="9.7109375" style="1078" customWidth="1"/>
    <col min="11026" max="11026" width="9.5703125" style="1078" customWidth="1"/>
    <col min="11027" max="11027" width="9.85546875" style="1078" customWidth="1"/>
    <col min="11028" max="11028" width="6.5703125" style="1078" customWidth="1"/>
    <col min="11029" max="11029" width="6" style="1078" bestFit="1" customWidth="1"/>
    <col min="11030" max="11030" width="6.28515625" style="1078" customWidth="1"/>
    <col min="11031" max="11031" width="11.7109375" style="1078" customWidth="1"/>
    <col min="11032" max="11032" width="0" style="1078" hidden="1" customWidth="1"/>
    <col min="11033" max="11033" width="14.5703125" style="1078" customWidth="1"/>
    <col min="11034" max="11034" width="11.85546875" style="1078" customWidth="1"/>
    <col min="11035" max="11269" width="9.140625" style="1078"/>
    <col min="11270" max="11270" width="2.85546875" style="1078" customWidth="1"/>
    <col min="11271" max="11271" width="50.7109375" style="1078" customWidth="1"/>
    <col min="11272" max="11272" width="9.42578125" style="1078" customWidth="1"/>
    <col min="11273" max="11273" width="11.85546875" style="1078" customWidth="1"/>
    <col min="11274" max="11274" width="8.42578125" style="1078" bestFit="1" customWidth="1"/>
    <col min="11275" max="11277" width="0" style="1078" hidden="1" customWidth="1"/>
    <col min="11278" max="11278" width="6" style="1078" bestFit="1" customWidth="1"/>
    <col min="11279" max="11279" width="9.5703125" style="1078" customWidth="1"/>
    <col min="11280" max="11280" width="9.85546875" style="1078" customWidth="1"/>
    <col min="11281" max="11281" width="9.7109375" style="1078" customWidth="1"/>
    <col min="11282" max="11282" width="9.5703125" style="1078" customWidth="1"/>
    <col min="11283" max="11283" width="9.85546875" style="1078" customWidth="1"/>
    <col min="11284" max="11284" width="6.5703125" style="1078" customWidth="1"/>
    <col min="11285" max="11285" width="6" style="1078" bestFit="1" customWidth="1"/>
    <col min="11286" max="11286" width="6.28515625" style="1078" customWidth="1"/>
    <col min="11287" max="11287" width="11.7109375" style="1078" customWidth="1"/>
    <col min="11288" max="11288" width="0" style="1078" hidden="1" customWidth="1"/>
    <col min="11289" max="11289" width="14.5703125" style="1078" customWidth="1"/>
    <col min="11290" max="11290" width="11.85546875" style="1078" customWidth="1"/>
    <col min="11291" max="11525" width="9.140625" style="1078"/>
    <col min="11526" max="11526" width="2.85546875" style="1078" customWidth="1"/>
    <col min="11527" max="11527" width="50.7109375" style="1078" customWidth="1"/>
    <col min="11528" max="11528" width="9.42578125" style="1078" customWidth="1"/>
    <col min="11529" max="11529" width="11.85546875" style="1078" customWidth="1"/>
    <col min="11530" max="11530" width="8.42578125" style="1078" bestFit="1" customWidth="1"/>
    <col min="11531" max="11533" width="0" style="1078" hidden="1" customWidth="1"/>
    <col min="11534" max="11534" width="6" style="1078" bestFit="1" customWidth="1"/>
    <col min="11535" max="11535" width="9.5703125" style="1078" customWidth="1"/>
    <col min="11536" max="11536" width="9.85546875" style="1078" customWidth="1"/>
    <col min="11537" max="11537" width="9.7109375" style="1078" customWidth="1"/>
    <col min="11538" max="11538" width="9.5703125" style="1078" customWidth="1"/>
    <col min="11539" max="11539" width="9.85546875" style="1078" customWidth="1"/>
    <col min="11540" max="11540" width="6.5703125" style="1078" customWidth="1"/>
    <col min="11541" max="11541" width="6" style="1078" bestFit="1" customWidth="1"/>
    <col min="11542" max="11542" width="6.28515625" style="1078" customWidth="1"/>
    <col min="11543" max="11543" width="11.7109375" style="1078" customWidth="1"/>
    <col min="11544" max="11544" width="0" style="1078" hidden="1" customWidth="1"/>
    <col min="11545" max="11545" width="14.5703125" style="1078" customWidth="1"/>
    <col min="11546" max="11546" width="11.85546875" style="1078" customWidth="1"/>
    <col min="11547" max="11781" width="9.140625" style="1078"/>
    <col min="11782" max="11782" width="2.85546875" style="1078" customWidth="1"/>
    <col min="11783" max="11783" width="50.7109375" style="1078" customWidth="1"/>
    <col min="11784" max="11784" width="9.42578125" style="1078" customWidth="1"/>
    <col min="11785" max="11785" width="11.85546875" style="1078" customWidth="1"/>
    <col min="11786" max="11786" width="8.42578125" style="1078" bestFit="1" customWidth="1"/>
    <col min="11787" max="11789" width="0" style="1078" hidden="1" customWidth="1"/>
    <col min="11790" max="11790" width="6" style="1078" bestFit="1" customWidth="1"/>
    <col min="11791" max="11791" width="9.5703125" style="1078" customWidth="1"/>
    <col min="11792" max="11792" width="9.85546875" style="1078" customWidth="1"/>
    <col min="11793" max="11793" width="9.7109375" style="1078" customWidth="1"/>
    <col min="11794" max="11794" width="9.5703125" style="1078" customWidth="1"/>
    <col min="11795" max="11795" width="9.85546875" style="1078" customWidth="1"/>
    <col min="11796" max="11796" width="6.5703125" style="1078" customWidth="1"/>
    <col min="11797" max="11797" width="6" style="1078" bestFit="1" customWidth="1"/>
    <col min="11798" max="11798" width="6.28515625" style="1078" customWidth="1"/>
    <col min="11799" max="11799" width="11.7109375" style="1078" customWidth="1"/>
    <col min="11800" max="11800" width="0" style="1078" hidden="1" customWidth="1"/>
    <col min="11801" max="11801" width="14.5703125" style="1078" customWidth="1"/>
    <col min="11802" max="11802" width="11.85546875" style="1078" customWidth="1"/>
    <col min="11803" max="12037" width="9.140625" style="1078"/>
    <col min="12038" max="12038" width="2.85546875" style="1078" customWidth="1"/>
    <col min="12039" max="12039" width="50.7109375" style="1078" customWidth="1"/>
    <col min="12040" max="12040" width="9.42578125" style="1078" customWidth="1"/>
    <col min="12041" max="12041" width="11.85546875" style="1078" customWidth="1"/>
    <col min="12042" max="12042" width="8.42578125" style="1078" bestFit="1" customWidth="1"/>
    <col min="12043" max="12045" width="0" style="1078" hidden="1" customWidth="1"/>
    <col min="12046" max="12046" width="6" style="1078" bestFit="1" customWidth="1"/>
    <col min="12047" max="12047" width="9.5703125" style="1078" customWidth="1"/>
    <col min="12048" max="12048" width="9.85546875" style="1078" customWidth="1"/>
    <col min="12049" max="12049" width="9.7109375" style="1078" customWidth="1"/>
    <col min="12050" max="12050" width="9.5703125" style="1078" customWidth="1"/>
    <col min="12051" max="12051" width="9.85546875" style="1078" customWidth="1"/>
    <col min="12052" max="12052" width="6.5703125" style="1078" customWidth="1"/>
    <col min="12053" max="12053" width="6" style="1078" bestFit="1" customWidth="1"/>
    <col min="12054" max="12054" width="6.28515625" style="1078" customWidth="1"/>
    <col min="12055" max="12055" width="11.7109375" style="1078" customWidth="1"/>
    <col min="12056" max="12056" width="0" style="1078" hidden="1" customWidth="1"/>
    <col min="12057" max="12057" width="14.5703125" style="1078" customWidth="1"/>
    <col min="12058" max="12058" width="11.85546875" style="1078" customWidth="1"/>
    <col min="12059" max="12293" width="9.140625" style="1078"/>
    <col min="12294" max="12294" width="2.85546875" style="1078" customWidth="1"/>
    <col min="12295" max="12295" width="50.7109375" style="1078" customWidth="1"/>
    <col min="12296" max="12296" width="9.42578125" style="1078" customWidth="1"/>
    <col min="12297" max="12297" width="11.85546875" style="1078" customWidth="1"/>
    <col min="12298" max="12298" width="8.42578125" style="1078" bestFit="1" customWidth="1"/>
    <col min="12299" max="12301" width="0" style="1078" hidden="1" customWidth="1"/>
    <col min="12302" max="12302" width="6" style="1078" bestFit="1" customWidth="1"/>
    <col min="12303" max="12303" width="9.5703125" style="1078" customWidth="1"/>
    <col min="12304" max="12304" width="9.85546875" style="1078" customWidth="1"/>
    <col min="12305" max="12305" width="9.7109375" style="1078" customWidth="1"/>
    <col min="12306" max="12306" width="9.5703125" style="1078" customWidth="1"/>
    <col min="12307" max="12307" width="9.85546875" style="1078" customWidth="1"/>
    <col min="12308" max="12308" width="6.5703125" style="1078" customWidth="1"/>
    <col min="12309" max="12309" width="6" style="1078" bestFit="1" customWidth="1"/>
    <col min="12310" max="12310" width="6.28515625" style="1078" customWidth="1"/>
    <col min="12311" max="12311" width="11.7109375" style="1078" customWidth="1"/>
    <col min="12312" max="12312" width="0" style="1078" hidden="1" customWidth="1"/>
    <col min="12313" max="12313" width="14.5703125" style="1078" customWidth="1"/>
    <col min="12314" max="12314" width="11.85546875" style="1078" customWidth="1"/>
    <col min="12315" max="12549" width="9.140625" style="1078"/>
    <col min="12550" max="12550" width="2.85546875" style="1078" customWidth="1"/>
    <col min="12551" max="12551" width="50.7109375" style="1078" customWidth="1"/>
    <col min="12552" max="12552" width="9.42578125" style="1078" customWidth="1"/>
    <col min="12553" max="12553" width="11.85546875" style="1078" customWidth="1"/>
    <col min="12554" max="12554" width="8.42578125" style="1078" bestFit="1" customWidth="1"/>
    <col min="12555" max="12557" width="0" style="1078" hidden="1" customWidth="1"/>
    <col min="12558" max="12558" width="6" style="1078" bestFit="1" customWidth="1"/>
    <col min="12559" max="12559" width="9.5703125" style="1078" customWidth="1"/>
    <col min="12560" max="12560" width="9.85546875" style="1078" customWidth="1"/>
    <col min="12561" max="12561" width="9.7109375" style="1078" customWidth="1"/>
    <col min="12562" max="12562" width="9.5703125" style="1078" customWidth="1"/>
    <col min="12563" max="12563" width="9.85546875" style="1078" customWidth="1"/>
    <col min="12564" max="12564" width="6.5703125" style="1078" customWidth="1"/>
    <col min="12565" max="12565" width="6" style="1078" bestFit="1" customWidth="1"/>
    <col min="12566" max="12566" width="6.28515625" style="1078" customWidth="1"/>
    <col min="12567" max="12567" width="11.7109375" style="1078" customWidth="1"/>
    <col min="12568" max="12568" width="0" style="1078" hidden="1" customWidth="1"/>
    <col min="12569" max="12569" width="14.5703125" style="1078" customWidth="1"/>
    <col min="12570" max="12570" width="11.85546875" style="1078" customWidth="1"/>
    <col min="12571" max="12805" width="9.140625" style="1078"/>
    <col min="12806" max="12806" width="2.85546875" style="1078" customWidth="1"/>
    <col min="12807" max="12807" width="50.7109375" style="1078" customWidth="1"/>
    <col min="12808" max="12808" width="9.42578125" style="1078" customWidth="1"/>
    <col min="12809" max="12809" width="11.85546875" style="1078" customWidth="1"/>
    <col min="12810" max="12810" width="8.42578125" style="1078" bestFit="1" customWidth="1"/>
    <col min="12811" max="12813" width="0" style="1078" hidden="1" customWidth="1"/>
    <col min="12814" max="12814" width="6" style="1078" bestFit="1" customWidth="1"/>
    <col min="12815" max="12815" width="9.5703125" style="1078" customWidth="1"/>
    <col min="12816" max="12816" width="9.85546875" style="1078" customWidth="1"/>
    <col min="12817" max="12817" width="9.7109375" style="1078" customWidth="1"/>
    <col min="12818" max="12818" width="9.5703125" style="1078" customWidth="1"/>
    <col min="12819" max="12819" width="9.85546875" style="1078" customWidth="1"/>
    <col min="12820" max="12820" width="6.5703125" style="1078" customWidth="1"/>
    <col min="12821" max="12821" width="6" style="1078" bestFit="1" customWidth="1"/>
    <col min="12822" max="12822" width="6.28515625" style="1078" customWidth="1"/>
    <col min="12823" max="12823" width="11.7109375" style="1078" customWidth="1"/>
    <col min="12824" max="12824" width="0" style="1078" hidden="1" customWidth="1"/>
    <col min="12825" max="12825" width="14.5703125" style="1078" customWidth="1"/>
    <col min="12826" max="12826" width="11.85546875" style="1078" customWidth="1"/>
    <col min="12827" max="13061" width="9.140625" style="1078"/>
    <col min="13062" max="13062" width="2.85546875" style="1078" customWidth="1"/>
    <col min="13063" max="13063" width="50.7109375" style="1078" customWidth="1"/>
    <col min="13064" max="13064" width="9.42578125" style="1078" customWidth="1"/>
    <col min="13065" max="13065" width="11.85546875" style="1078" customWidth="1"/>
    <col min="13066" max="13066" width="8.42578125" style="1078" bestFit="1" customWidth="1"/>
    <col min="13067" max="13069" width="0" style="1078" hidden="1" customWidth="1"/>
    <col min="13070" max="13070" width="6" style="1078" bestFit="1" customWidth="1"/>
    <col min="13071" max="13071" width="9.5703125" style="1078" customWidth="1"/>
    <col min="13072" max="13072" width="9.85546875" style="1078" customWidth="1"/>
    <col min="13073" max="13073" width="9.7109375" style="1078" customWidth="1"/>
    <col min="13074" max="13074" width="9.5703125" style="1078" customWidth="1"/>
    <col min="13075" max="13075" width="9.85546875" style="1078" customWidth="1"/>
    <col min="13076" max="13076" width="6.5703125" style="1078" customWidth="1"/>
    <col min="13077" max="13077" width="6" style="1078" bestFit="1" customWidth="1"/>
    <col min="13078" max="13078" width="6.28515625" style="1078" customWidth="1"/>
    <col min="13079" max="13079" width="11.7109375" style="1078" customWidth="1"/>
    <col min="13080" max="13080" width="0" style="1078" hidden="1" customWidth="1"/>
    <col min="13081" max="13081" width="14.5703125" style="1078" customWidth="1"/>
    <col min="13082" max="13082" width="11.85546875" style="1078" customWidth="1"/>
    <col min="13083" max="13317" width="9.140625" style="1078"/>
    <col min="13318" max="13318" width="2.85546875" style="1078" customWidth="1"/>
    <col min="13319" max="13319" width="50.7109375" style="1078" customWidth="1"/>
    <col min="13320" max="13320" width="9.42578125" style="1078" customWidth="1"/>
    <col min="13321" max="13321" width="11.85546875" style="1078" customWidth="1"/>
    <col min="13322" max="13322" width="8.42578125" style="1078" bestFit="1" customWidth="1"/>
    <col min="13323" max="13325" width="0" style="1078" hidden="1" customWidth="1"/>
    <col min="13326" max="13326" width="6" style="1078" bestFit="1" customWidth="1"/>
    <col min="13327" max="13327" width="9.5703125" style="1078" customWidth="1"/>
    <col min="13328" max="13328" width="9.85546875" style="1078" customWidth="1"/>
    <col min="13329" max="13329" width="9.7109375" style="1078" customWidth="1"/>
    <col min="13330" max="13330" width="9.5703125" style="1078" customWidth="1"/>
    <col min="13331" max="13331" width="9.85546875" style="1078" customWidth="1"/>
    <col min="13332" max="13332" width="6.5703125" style="1078" customWidth="1"/>
    <col min="13333" max="13333" width="6" style="1078" bestFit="1" customWidth="1"/>
    <col min="13334" max="13334" width="6.28515625" style="1078" customWidth="1"/>
    <col min="13335" max="13335" width="11.7109375" style="1078" customWidth="1"/>
    <col min="13336" max="13336" width="0" style="1078" hidden="1" customWidth="1"/>
    <col min="13337" max="13337" width="14.5703125" style="1078" customWidth="1"/>
    <col min="13338" max="13338" width="11.85546875" style="1078" customWidth="1"/>
    <col min="13339" max="13573" width="9.140625" style="1078"/>
    <col min="13574" max="13574" width="2.85546875" style="1078" customWidth="1"/>
    <col min="13575" max="13575" width="50.7109375" style="1078" customWidth="1"/>
    <col min="13576" max="13576" width="9.42578125" style="1078" customWidth="1"/>
    <col min="13577" max="13577" width="11.85546875" style="1078" customWidth="1"/>
    <col min="13578" max="13578" width="8.42578125" style="1078" bestFit="1" customWidth="1"/>
    <col min="13579" max="13581" width="0" style="1078" hidden="1" customWidth="1"/>
    <col min="13582" max="13582" width="6" style="1078" bestFit="1" customWidth="1"/>
    <col min="13583" max="13583" width="9.5703125" style="1078" customWidth="1"/>
    <col min="13584" max="13584" width="9.85546875" style="1078" customWidth="1"/>
    <col min="13585" max="13585" width="9.7109375" style="1078" customWidth="1"/>
    <col min="13586" max="13586" width="9.5703125" style="1078" customWidth="1"/>
    <col min="13587" max="13587" width="9.85546875" style="1078" customWidth="1"/>
    <col min="13588" max="13588" width="6.5703125" style="1078" customWidth="1"/>
    <col min="13589" max="13589" width="6" style="1078" bestFit="1" customWidth="1"/>
    <col min="13590" max="13590" width="6.28515625" style="1078" customWidth="1"/>
    <col min="13591" max="13591" width="11.7109375" style="1078" customWidth="1"/>
    <col min="13592" max="13592" width="0" style="1078" hidden="1" customWidth="1"/>
    <col min="13593" max="13593" width="14.5703125" style="1078" customWidth="1"/>
    <col min="13594" max="13594" width="11.85546875" style="1078" customWidth="1"/>
    <col min="13595" max="13829" width="9.140625" style="1078"/>
    <col min="13830" max="13830" width="2.85546875" style="1078" customWidth="1"/>
    <col min="13831" max="13831" width="50.7109375" style="1078" customWidth="1"/>
    <col min="13832" max="13832" width="9.42578125" style="1078" customWidth="1"/>
    <col min="13833" max="13833" width="11.85546875" style="1078" customWidth="1"/>
    <col min="13834" max="13834" width="8.42578125" style="1078" bestFit="1" customWidth="1"/>
    <col min="13835" max="13837" width="0" style="1078" hidden="1" customWidth="1"/>
    <col min="13838" max="13838" width="6" style="1078" bestFit="1" customWidth="1"/>
    <col min="13839" max="13839" width="9.5703125" style="1078" customWidth="1"/>
    <col min="13840" max="13840" width="9.85546875" style="1078" customWidth="1"/>
    <col min="13841" max="13841" width="9.7109375" style="1078" customWidth="1"/>
    <col min="13842" max="13842" width="9.5703125" style="1078" customWidth="1"/>
    <col min="13843" max="13843" width="9.85546875" style="1078" customWidth="1"/>
    <col min="13844" max="13844" width="6.5703125" style="1078" customWidth="1"/>
    <col min="13845" max="13845" width="6" style="1078" bestFit="1" customWidth="1"/>
    <col min="13846" max="13846" width="6.28515625" style="1078" customWidth="1"/>
    <col min="13847" max="13847" width="11.7109375" style="1078" customWidth="1"/>
    <col min="13848" max="13848" width="0" style="1078" hidden="1" customWidth="1"/>
    <col min="13849" max="13849" width="14.5703125" style="1078" customWidth="1"/>
    <col min="13850" max="13850" width="11.85546875" style="1078" customWidth="1"/>
    <col min="13851" max="14085" width="9.140625" style="1078"/>
    <col min="14086" max="14086" width="2.85546875" style="1078" customWidth="1"/>
    <col min="14087" max="14087" width="50.7109375" style="1078" customWidth="1"/>
    <col min="14088" max="14088" width="9.42578125" style="1078" customWidth="1"/>
    <col min="14089" max="14089" width="11.85546875" style="1078" customWidth="1"/>
    <col min="14090" max="14090" width="8.42578125" style="1078" bestFit="1" customWidth="1"/>
    <col min="14091" max="14093" width="0" style="1078" hidden="1" customWidth="1"/>
    <col min="14094" max="14094" width="6" style="1078" bestFit="1" customWidth="1"/>
    <col min="14095" max="14095" width="9.5703125" style="1078" customWidth="1"/>
    <col min="14096" max="14096" width="9.85546875" style="1078" customWidth="1"/>
    <col min="14097" max="14097" width="9.7109375" style="1078" customWidth="1"/>
    <col min="14098" max="14098" width="9.5703125" style="1078" customWidth="1"/>
    <col min="14099" max="14099" width="9.85546875" style="1078" customWidth="1"/>
    <col min="14100" max="14100" width="6.5703125" style="1078" customWidth="1"/>
    <col min="14101" max="14101" width="6" style="1078" bestFit="1" customWidth="1"/>
    <col min="14102" max="14102" width="6.28515625" style="1078" customWidth="1"/>
    <col min="14103" max="14103" width="11.7109375" style="1078" customWidth="1"/>
    <col min="14104" max="14104" width="0" style="1078" hidden="1" customWidth="1"/>
    <col min="14105" max="14105" width="14.5703125" style="1078" customWidth="1"/>
    <col min="14106" max="14106" width="11.85546875" style="1078" customWidth="1"/>
    <col min="14107" max="14341" width="9.140625" style="1078"/>
    <col min="14342" max="14342" width="2.85546875" style="1078" customWidth="1"/>
    <col min="14343" max="14343" width="50.7109375" style="1078" customWidth="1"/>
    <col min="14344" max="14344" width="9.42578125" style="1078" customWidth="1"/>
    <col min="14345" max="14345" width="11.85546875" style="1078" customWidth="1"/>
    <col min="14346" max="14346" width="8.42578125" style="1078" bestFit="1" customWidth="1"/>
    <col min="14347" max="14349" width="0" style="1078" hidden="1" customWidth="1"/>
    <col min="14350" max="14350" width="6" style="1078" bestFit="1" customWidth="1"/>
    <col min="14351" max="14351" width="9.5703125" style="1078" customWidth="1"/>
    <col min="14352" max="14352" width="9.85546875" style="1078" customWidth="1"/>
    <col min="14353" max="14353" width="9.7109375" style="1078" customWidth="1"/>
    <col min="14354" max="14354" width="9.5703125" style="1078" customWidth="1"/>
    <col min="14355" max="14355" width="9.85546875" style="1078" customWidth="1"/>
    <col min="14356" max="14356" width="6.5703125" style="1078" customWidth="1"/>
    <col min="14357" max="14357" width="6" style="1078" bestFit="1" customWidth="1"/>
    <col min="14358" max="14358" width="6.28515625" style="1078" customWidth="1"/>
    <col min="14359" max="14359" width="11.7109375" style="1078" customWidth="1"/>
    <col min="14360" max="14360" width="0" style="1078" hidden="1" customWidth="1"/>
    <col min="14361" max="14361" width="14.5703125" style="1078" customWidth="1"/>
    <col min="14362" max="14362" width="11.85546875" style="1078" customWidth="1"/>
    <col min="14363" max="14597" width="9.140625" style="1078"/>
    <col min="14598" max="14598" width="2.85546875" style="1078" customWidth="1"/>
    <col min="14599" max="14599" width="50.7109375" style="1078" customWidth="1"/>
    <col min="14600" max="14600" width="9.42578125" style="1078" customWidth="1"/>
    <col min="14601" max="14601" width="11.85546875" style="1078" customWidth="1"/>
    <col min="14602" max="14602" width="8.42578125" style="1078" bestFit="1" customWidth="1"/>
    <col min="14603" max="14605" width="0" style="1078" hidden="1" customWidth="1"/>
    <col min="14606" max="14606" width="6" style="1078" bestFit="1" customWidth="1"/>
    <col min="14607" max="14607" width="9.5703125" style="1078" customWidth="1"/>
    <col min="14608" max="14608" width="9.85546875" style="1078" customWidth="1"/>
    <col min="14609" max="14609" width="9.7109375" style="1078" customWidth="1"/>
    <col min="14610" max="14610" width="9.5703125" style="1078" customWidth="1"/>
    <col min="14611" max="14611" width="9.85546875" style="1078" customWidth="1"/>
    <col min="14612" max="14612" width="6.5703125" style="1078" customWidth="1"/>
    <col min="14613" max="14613" width="6" style="1078" bestFit="1" customWidth="1"/>
    <col min="14614" max="14614" width="6.28515625" style="1078" customWidth="1"/>
    <col min="14615" max="14615" width="11.7109375" style="1078" customWidth="1"/>
    <col min="14616" max="14616" width="0" style="1078" hidden="1" customWidth="1"/>
    <col min="14617" max="14617" width="14.5703125" style="1078" customWidth="1"/>
    <col min="14618" max="14618" width="11.85546875" style="1078" customWidth="1"/>
    <col min="14619" max="14853" width="9.140625" style="1078"/>
    <col min="14854" max="14854" width="2.85546875" style="1078" customWidth="1"/>
    <col min="14855" max="14855" width="50.7109375" style="1078" customWidth="1"/>
    <col min="14856" max="14856" width="9.42578125" style="1078" customWidth="1"/>
    <col min="14857" max="14857" width="11.85546875" style="1078" customWidth="1"/>
    <col min="14858" max="14858" width="8.42578125" style="1078" bestFit="1" customWidth="1"/>
    <col min="14859" max="14861" width="0" style="1078" hidden="1" customWidth="1"/>
    <col min="14862" max="14862" width="6" style="1078" bestFit="1" customWidth="1"/>
    <col min="14863" max="14863" width="9.5703125" style="1078" customWidth="1"/>
    <col min="14864" max="14864" width="9.85546875" style="1078" customWidth="1"/>
    <col min="14865" max="14865" width="9.7109375" style="1078" customWidth="1"/>
    <col min="14866" max="14866" width="9.5703125" style="1078" customWidth="1"/>
    <col min="14867" max="14867" width="9.85546875" style="1078" customWidth="1"/>
    <col min="14868" max="14868" width="6.5703125" style="1078" customWidth="1"/>
    <col min="14869" max="14869" width="6" style="1078" bestFit="1" customWidth="1"/>
    <col min="14870" max="14870" width="6.28515625" style="1078" customWidth="1"/>
    <col min="14871" max="14871" width="11.7109375" style="1078" customWidth="1"/>
    <col min="14872" max="14872" width="0" style="1078" hidden="1" customWidth="1"/>
    <col min="14873" max="14873" width="14.5703125" style="1078" customWidth="1"/>
    <col min="14874" max="14874" width="11.85546875" style="1078" customWidth="1"/>
    <col min="14875" max="15109" width="9.140625" style="1078"/>
    <col min="15110" max="15110" width="2.85546875" style="1078" customWidth="1"/>
    <col min="15111" max="15111" width="50.7109375" style="1078" customWidth="1"/>
    <col min="15112" max="15112" width="9.42578125" style="1078" customWidth="1"/>
    <col min="15113" max="15113" width="11.85546875" style="1078" customWidth="1"/>
    <col min="15114" max="15114" width="8.42578125" style="1078" bestFit="1" customWidth="1"/>
    <col min="15115" max="15117" width="0" style="1078" hidden="1" customWidth="1"/>
    <col min="15118" max="15118" width="6" style="1078" bestFit="1" customWidth="1"/>
    <col min="15119" max="15119" width="9.5703125" style="1078" customWidth="1"/>
    <col min="15120" max="15120" width="9.85546875" style="1078" customWidth="1"/>
    <col min="15121" max="15121" width="9.7109375" style="1078" customWidth="1"/>
    <col min="15122" max="15122" width="9.5703125" style="1078" customWidth="1"/>
    <col min="15123" max="15123" width="9.85546875" style="1078" customWidth="1"/>
    <col min="15124" max="15124" width="6.5703125" style="1078" customWidth="1"/>
    <col min="15125" max="15125" width="6" style="1078" bestFit="1" customWidth="1"/>
    <col min="15126" max="15126" width="6.28515625" style="1078" customWidth="1"/>
    <col min="15127" max="15127" width="11.7109375" style="1078" customWidth="1"/>
    <col min="15128" max="15128" width="0" style="1078" hidden="1" customWidth="1"/>
    <col min="15129" max="15129" width="14.5703125" style="1078" customWidth="1"/>
    <col min="15130" max="15130" width="11.85546875" style="1078" customWidth="1"/>
    <col min="15131" max="15365" width="9.140625" style="1078"/>
    <col min="15366" max="15366" width="2.85546875" style="1078" customWidth="1"/>
    <col min="15367" max="15367" width="50.7109375" style="1078" customWidth="1"/>
    <col min="15368" max="15368" width="9.42578125" style="1078" customWidth="1"/>
    <col min="15369" max="15369" width="11.85546875" style="1078" customWidth="1"/>
    <col min="15370" max="15370" width="8.42578125" style="1078" bestFit="1" customWidth="1"/>
    <col min="15371" max="15373" width="0" style="1078" hidden="1" customWidth="1"/>
    <col min="15374" max="15374" width="6" style="1078" bestFit="1" customWidth="1"/>
    <col min="15375" max="15375" width="9.5703125" style="1078" customWidth="1"/>
    <col min="15376" max="15376" width="9.85546875" style="1078" customWidth="1"/>
    <col min="15377" max="15377" width="9.7109375" style="1078" customWidth="1"/>
    <col min="15378" max="15378" width="9.5703125" style="1078" customWidth="1"/>
    <col min="15379" max="15379" width="9.85546875" style="1078" customWidth="1"/>
    <col min="15380" max="15380" width="6.5703125" style="1078" customWidth="1"/>
    <col min="15381" max="15381" width="6" style="1078" bestFit="1" customWidth="1"/>
    <col min="15382" max="15382" width="6.28515625" style="1078" customWidth="1"/>
    <col min="15383" max="15383" width="11.7109375" style="1078" customWidth="1"/>
    <col min="15384" max="15384" width="0" style="1078" hidden="1" customWidth="1"/>
    <col min="15385" max="15385" width="14.5703125" style="1078" customWidth="1"/>
    <col min="15386" max="15386" width="11.85546875" style="1078" customWidth="1"/>
    <col min="15387" max="15621" width="9.140625" style="1078"/>
    <col min="15622" max="15622" width="2.85546875" style="1078" customWidth="1"/>
    <col min="15623" max="15623" width="50.7109375" style="1078" customWidth="1"/>
    <col min="15624" max="15624" width="9.42578125" style="1078" customWidth="1"/>
    <col min="15625" max="15625" width="11.85546875" style="1078" customWidth="1"/>
    <col min="15626" max="15626" width="8.42578125" style="1078" bestFit="1" customWidth="1"/>
    <col min="15627" max="15629" width="0" style="1078" hidden="1" customWidth="1"/>
    <col min="15630" max="15630" width="6" style="1078" bestFit="1" customWidth="1"/>
    <col min="15631" max="15631" width="9.5703125" style="1078" customWidth="1"/>
    <col min="15632" max="15632" width="9.85546875" style="1078" customWidth="1"/>
    <col min="15633" max="15633" width="9.7109375" style="1078" customWidth="1"/>
    <col min="15634" max="15634" width="9.5703125" style="1078" customWidth="1"/>
    <col min="15635" max="15635" width="9.85546875" style="1078" customWidth="1"/>
    <col min="15636" max="15636" width="6.5703125" style="1078" customWidth="1"/>
    <col min="15637" max="15637" width="6" style="1078" bestFit="1" customWidth="1"/>
    <col min="15638" max="15638" width="6.28515625" style="1078" customWidth="1"/>
    <col min="15639" max="15639" width="11.7109375" style="1078" customWidth="1"/>
    <col min="15640" max="15640" width="0" style="1078" hidden="1" customWidth="1"/>
    <col min="15641" max="15641" width="14.5703125" style="1078" customWidth="1"/>
    <col min="15642" max="15642" width="11.85546875" style="1078" customWidth="1"/>
    <col min="15643" max="15877" width="9.140625" style="1078"/>
    <col min="15878" max="15878" width="2.85546875" style="1078" customWidth="1"/>
    <col min="15879" max="15879" width="50.7109375" style="1078" customWidth="1"/>
    <col min="15880" max="15880" width="9.42578125" style="1078" customWidth="1"/>
    <col min="15881" max="15881" width="11.85546875" style="1078" customWidth="1"/>
    <col min="15882" max="15882" width="8.42578125" style="1078" bestFit="1" customWidth="1"/>
    <col min="15883" max="15885" width="0" style="1078" hidden="1" customWidth="1"/>
    <col min="15886" max="15886" width="6" style="1078" bestFit="1" customWidth="1"/>
    <col min="15887" max="15887" width="9.5703125" style="1078" customWidth="1"/>
    <col min="15888" max="15888" width="9.85546875" style="1078" customWidth="1"/>
    <col min="15889" max="15889" width="9.7109375" style="1078" customWidth="1"/>
    <col min="15890" max="15890" width="9.5703125" style="1078" customWidth="1"/>
    <col min="15891" max="15891" width="9.85546875" style="1078" customWidth="1"/>
    <col min="15892" max="15892" width="6.5703125" style="1078" customWidth="1"/>
    <col min="15893" max="15893" width="6" style="1078" bestFit="1" customWidth="1"/>
    <col min="15894" max="15894" width="6.28515625" style="1078" customWidth="1"/>
    <col min="15895" max="15895" width="11.7109375" style="1078" customWidth="1"/>
    <col min="15896" max="15896" width="0" style="1078" hidden="1" customWidth="1"/>
    <col min="15897" max="15897" width="14.5703125" style="1078" customWidth="1"/>
    <col min="15898" max="15898" width="11.85546875" style="1078" customWidth="1"/>
    <col min="15899" max="16133" width="9.140625" style="1078"/>
    <col min="16134" max="16134" width="2.85546875" style="1078" customWidth="1"/>
    <col min="16135" max="16135" width="50.7109375" style="1078" customWidth="1"/>
    <col min="16136" max="16136" width="9.42578125" style="1078" customWidth="1"/>
    <col min="16137" max="16137" width="11.85546875" style="1078" customWidth="1"/>
    <col min="16138" max="16138" width="8.42578125" style="1078" bestFit="1" customWidth="1"/>
    <col min="16139" max="16141" width="0" style="1078" hidden="1" customWidth="1"/>
    <col min="16142" max="16142" width="6" style="1078" bestFit="1" customWidth="1"/>
    <col min="16143" max="16143" width="9.5703125" style="1078" customWidth="1"/>
    <col min="16144" max="16144" width="9.85546875" style="1078" customWidth="1"/>
    <col min="16145" max="16145" width="9.7109375" style="1078" customWidth="1"/>
    <col min="16146" max="16146" width="9.5703125" style="1078" customWidth="1"/>
    <col min="16147" max="16147" width="9.85546875" style="1078" customWidth="1"/>
    <col min="16148" max="16148" width="6.5703125" style="1078" customWidth="1"/>
    <col min="16149" max="16149" width="6" style="1078" bestFit="1" customWidth="1"/>
    <col min="16150" max="16150" width="6.28515625" style="1078" customWidth="1"/>
    <col min="16151" max="16151" width="11.7109375" style="1078" customWidth="1"/>
    <col min="16152" max="16152" width="0" style="1078" hidden="1" customWidth="1"/>
    <col min="16153" max="16153" width="14.5703125" style="1078" customWidth="1"/>
    <col min="16154" max="16154" width="11.85546875" style="1078" customWidth="1"/>
    <col min="16155" max="16384" width="9.140625" style="1078"/>
  </cols>
  <sheetData>
    <row r="1" spans="1:26" ht="15" customHeight="1">
      <c r="O1" s="1079"/>
      <c r="P1" s="1130"/>
      <c r="R1" s="1078"/>
      <c r="S1" s="1080" t="s">
        <v>373</v>
      </c>
      <c r="T1" s="1078"/>
      <c r="U1" s="1078"/>
      <c r="V1" s="1078"/>
      <c r="W1" s="1078"/>
      <c r="X1" s="1081"/>
      <c r="Y1" s="1082"/>
    </row>
    <row r="2" spans="1:26" ht="5.25" customHeight="1">
      <c r="N2" s="1666"/>
      <c r="O2" s="1083"/>
      <c r="P2" s="1084"/>
      <c r="Q2" s="1078"/>
      <c r="R2" s="1078"/>
      <c r="S2" s="1078"/>
      <c r="T2" s="1078"/>
      <c r="U2" s="1078"/>
      <c r="V2" s="1078"/>
      <c r="W2" s="1078"/>
      <c r="X2" s="1081"/>
      <c r="Y2" s="1082"/>
    </row>
    <row r="3" spans="1:26" ht="7.5" customHeight="1">
      <c r="N3" s="1666"/>
      <c r="O3" s="1083"/>
      <c r="P3" s="1084"/>
      <c r="Q3" s="1078"/>
      <c r="R3" s="1078"/>
      <c r="S3" s="1078"/>
      <c r="T3" s="1078"/>
      <c r="U3" s="1078"/>
      <c r="V3" s="1078"/>
      <c r="W3" s="1078"/>
      <c r="X3" s="1081"/>
      <c r="Y3" s="1082"/>
    </row>
    <row r="4" spans="1:26" ht="36" customHeight="1" thickBot="1">
      <c r="A4" s="4690" t="s">
        <v>362</v>
      </c>
      <c r="B4" s="4690"/>
      <c r="C4" s="4690"/>
      <c r="D4" s="4690"/>
      <c r="E4" s="4690"/>
      <c r="F4" s="4690"/>
      <c r="G4" s="4690"/>
      <c r="H4" s="4690"/>
      <c r="I4" s="4690"/>
      <c r="J4" s="4690"/>
      <c r="K4" s="4690"/>
      <c r="L4" s="4690"/>
      <c r="M4" s="4690"/>
      <c r="N4" s="4690"/>
      <c r="O4" s="4690"/>
      <c r="P4" s="4690"/>
      <c r="Q4" s="4690"/>
      <c r="R4" s="4690"/>
      <c r="S4" s="4690"/>
      <c r="T4" s="4690"/>
      <c r="U4" s="4690"/>
      <c r="V4" s="4690"/>
      <c r="W4" s="4690"/>
      <c r="X4" s="4690"/>
      <c r="Y4" s="4690"/>
    </row>
    <row r="5" spans="1:26" ht="29.25" customHeight="1">
      <c r="A5" s="1085"/>
      <c r="B5" s="4691" t="s">
        <v>91</v>
      </c>
      <c r="C5" s="4182" t="s">
        <v>87</v>
      </c>
      <c r="D5" s="3928" t="s">
        <v>147</v>
      </c>
      <c r="E5" s="4694" t="s">
        <v>3</v>
      </c>
      <c r="F5" s="4695"/>
      <c r="G5" s="4695"/>
      <c r="H5" s="4695"/>
      <c r="I5" s="4695"/>
      <c r="J5" s="4695"/>
      <c r="K5" s="4695"/>
      <c r="L5" s="4696"/>
      <c r="M5" s="4694" t="s">
        <v>379</v>
      </c>
      <c r="N5" s="1692"/>
      <c r="O5" s="4197" t="s">
        <v>539</v>
      </c>
      <c r="P5" s="4199" t="s">
        <v>540</v>
      </c>
      <c r="Q5" s="4200"/>
      <c r="R5" s="4200"/>
      <c r="S5" s="4200"/>
      <c r="T5" s="4200"/>
      <c r="U5" s="4200"/>
      <c r="V5" s="4200"/>
      <c r="W5" s="4201"/>
      <c r="X5" s="4548" t="s">
        <v>499</v>
      </c>
      <c r="Y5" s="4406" t="s">
        <v>89</v>
      </c>
    </row>
    <row r="6" spans="1:26" ht="29.25" customHeight="1">
      <c r="A6" s="1086" t="s">
        <v>90</v>
      </c>
      <c r="B6" s="4692"/>
      <c r="C6" s="4396"/>
      <c r="D6" s="4398"/>
      <c r="E6" s="4697"/>
      <c r="F6" s="4698"/>
      <c r="G6" s="4698"/>
      <c r="H6" s="4698"/>
      <c r="I6" s="4698"/>
      <c r="J6" s="4698"/>
      <c r="K6" s="4698"/>
      <c r="L6" s="4699"/>
      <c r="M6" s="4697"/>
      <c r="N6" s="1693"/>
      <c r="O6" s="4198"/>
      <c r="P6" s="4202"/>
      <c r="Q6" s="4203"/>
      <c r="R6" s="4203"/>
      <c r="S6" s="4203"/>
      <c r="T6" s="4203"/>
      <c r="U6" s="4203"/>
      <c r="V6" s="4203"/>
      <c r="W6" s="4204"/>
      <c r="X6" s="4700"/>
      <c r="Y6" s="4407"/>
    </row>
    <row r="7" spans="1:26" ht="24" customHeight="1" thickBot="1">
      <c r="A7" s="1086"/>
      <c r="B7" s="4693"/>
      <c r="C7" s="4397"/>
      <c r="D7" s="4399"/>
      <c r="E7" s="1087" t="s">
        <v>6</v>
      </c>
      <c r="F7" s="1088" t="s">
        <v>7</v>
      </c>
      <c r="G7" s="1088" t="s">
        <v>8</v>
      </c>
      <c r="H7" s="1088" t="s">
        <v>9</v>
      </c>
      <c r="I7" s="1752" t="s">
        <v>10</v>
      </c>
      <c r="J7" s="1752" t="s">
        <v>11</v>
      </c>
      <c r="K7" s="1752" t="s">
        <v>12</v>
      </c>
      <c r="L7" s="1752" t="s">
        <v>13</v>
      </c>
      <c r="M7" s="1612" t="s">
        <v>500</v>
      </c>
      <c r="N7" s="1667" t="s">
        <v>14</v>
      </c>
      <c r="O7" s="1089" t="s">
        <v>15</v>
      </c>
      <c r="P7" s="1089" t="s">
        <v>16</v>
      </c>
      <c r="Q7" s="1089" t="s">
        <v>17</v>
      </c>
      <c r="R7" s="1089" t="s">
        <v>18</v>
      </c>
      <c r="S7" s="1089" t="s">
        <v>376</v>
      </c>
      <c r="T7" s="1089" t="s">
        <v>377</v>
      </c>
      <c r="U7" s="1089" t="s">
        <v>496</v>
      </c>
      <c r="V7" s="1089" t="s">
        <v>497</v>
      </c>
      <c r="W7" s="1089" t="s">
        <v>498</v>
      </c>
      <c r="X7" s="4701"/>
      <c r="Y7" s="4408"/>
    </row>
    <row r="8" spans="1:26" ht="15" customHeight="1" thickBot="1">
      <c r="A8" s="1090">
        <v>1</v>
      </c>
      <c r="B8" s="1091">
        <v>2</v>
      </c>
      <c r="C8" s="1092" t="s">
        <v>148</v>
      </c>
      <c r="D8" s="1092" t="s">
        <v>149</v>
      </c>
      <c r="E8" s="1092" t="s">
        <v>150</v>
      </c>
      <c r="F8" s="1093">
        <v>8</v>
      </c>
      <c r="G8" s="1093">
        <v>9</v>
      </c>
      <c r="H8" s="1093">
        <v>10</v>
      </c>
      <c r="I8" s="1094" t="s">
        <v>151</v>
      </c>
      <c r="J8" s="1094" t="s">
        <v>152</v>
      </c>
      <c r="K8" s="1094" t="s">
        <v>153</v>
      </c>
      <c r="L8" s="1094" t="s">
        <v>154</v>
      </c>
      <c r="M8" s="1094">
        <v>5</v>
      </c>
      <c r="N8" s="1094" t="s">
        <v>493</v>
      </c>
      <c r="O8" s="1094">
        <v>6</v>
      </c>
      <c r="P8" s="1094">
        <v>7</v>
      </c>
      <c r="Q8" s="1094">
        <v>8</v>
      </c>
      <c r="R8" s="1094">
        <v>9</v>
      </c>
      <c r="S8" s="1179">
        <v>10</v>
      </c>
      <c r="T8" s="1179">
        <v>11</v>
      </c>
      <c r="U8" s="1179">
        <v>12</v>
      </c>
      <c r="V8" s="1179">
        <v>13</v>
      </c>
      <c r="W8" s="1179">
        <v>14</v>
      </c>
      <c r="X8" s="1095">
        <v>15</v>
      </c>
      <c r="Y8" s="1096">
        <v>16</v>
      </c>
    </row>
    <row r="9" spans="1:26" s="1258" customFormat="1" ht="15.75" customHeight="1">
      <c r="A9" s="727"/>
      <c r="B9" s="1097" t="s">
        <v>92</v>
      </c>
      <c r="C9" s="991"/>
      <c r="D9" s="992">
        <f>+D10+D11</f>
        <v>1717800</v>
      </c>
      <c r="E9" s="992">
        <f t="shared" ref="E9:Q9" si="0">+E10+E11</f>
        <v>0</v>
      </c>
      <c r="F9" s="992">
        <f t="shared" si="0"/>
        <v>0</v>
      </c>
      <c r="G9" s="992">
        <f t="shared" si="0"/>
        <v>0</v>
      </c>
      <c r="H9" s="992">
        <f t="shared" si="0"/>
        <v>0</v>
      </c>
      <c r="I9" s="992">
        <f t="shared" si="0"/>
        <v>0</v>
      </c>
      <c r="J9" s="992">
        <f t="shared" si="0"/>
        <v>0</v>
      </c>
      <c r="K9" s="992">
        <f t="shared" si="0"/>
        <v>0</v>
      </c>
      <c r="L9" s="992">
        <f t="shared" si="0"/>
        <v>0</v>
      </c>
      <c r="M9" s="992">
        <f t="shared" ref="M9" si="1">+M10+M11</f>
        <v>645493</v>
      </c>
      <c r="N9" s="992">
        <f t="shared" si="0"/>
        <v>645493</v>
      </c>
      <c r="O9" s="992">
        <f t="shared" si="0"/>
        <v>1072307</v>
      </c>
      <c r="P9" s="992">
        <f t="shared" si="0"/>
        <v>0</v>
      </c>
      <c r="Q9" s="992">
        <f t="shared" si="0"/>
        <v>0</v>
      </c>
      <c r="R9" s="992">
        <f t="shared" ref="R9:T9" si="2">+R10+R11</f>
        <v>0</v>
      </c>
      <c r="S9" s="992">
        <f t="shared" si="2"/>
        <v>0</v>
      </c>
      <c r="T9" s="992">
        <f t="shared" si="2"/>
        <v>0</v>
      </c>
      <c r="U9" s="992">
        <f t="shared" ref="U9:W9" si="3">+U10+U11</f>
        <v>0</v>
      </c>
      <c r="V9" s="992">
        <f t="shared" si="3"/>
        <v>0</v>
      </c>
      <c r="W9" s="992">
        <f t="shared" si="3"/>
        <v>0</v>
      </c>
      <c r="X9" s="742">
        <f>+X10+X11</f>
        <v>0</v>
      </c>
      <c r="Y9" s="353"/>
      <c r="Z9" s="1257"/>
    </row>
    <row r="10" spans="1:26" s="1258" customFormat="1" ht="13.5" customHeight="1">
      <c r="A10" s="727"/>
      <c r="B10" s="1020" t="s">
        <v>93</v>
      </c>
      <c r="C10" s="994"/>
      <c r="D10" s="995">
        <f>+D21+D30</f>
        <v>1619800</v>
      </c>
      <c r="E10" s="995">
        <f t="shared" ref="E10:Q10" si="4">+E21+E30</f>
        <v>0</v>
      </c>
      <c r="F10" s="995">
        <f t="shared" si="4"/>
        <v>0</v>
      </c>
      <c r="G10" s="995">
        <f t="shared" si="4"/>
        <v>0</v>
      </c>
      <c r="H10" s="995">
        <f t="shared" si="4"/>
        <v>0</v>
      </c>
      <c r="I10" s="995">
        <f t="shared" si="4"/>
        <v>0</v>
      </c>
      <c r="J10" s="995">
        <f t="shared" si="4"/>
        <v>0</v>
      </c>
      <c r="K10" s="995">
        <f t="shared" si="4"/>
        <v>0</v>
      </c>
      <c r="L10" s="995">
        <f t="shared" si="4"/>
        <v>0</v>
      </c>
      <c r="M10" s="995">
        <f t="shared" ref="M10" si="5">+M21+M30</f>
        <v>566920</v>
      </c>
      <c r="N10" s="995">
        <f t="shared" si="4"/>
        <v>566920</v>
      </c>
      <c r="O10" s="995">
        <f t="shared" si="4"/>
        <v>1052880</v>
      </c>
      <c r="P10" s="995">
        <f t="shared" si="4"/>
        <v>0</v>
      </c>
      <c r="Q10" s="995">
        <f t="shared" si="4"/>
        <v>0</v>
      </c>
      <c r="R10" s="995">
        <f t="shared" ref="R10:T10" si="6">+R21+R30</f>
        <v>0</v>
      </c>
      <c r="S10" s="995">
        <f t="shared" si="6"/>
        <v>0</v>
      </c>
      <c r="T10" s="995">
        <f t="shared" si="6"/>
        <v>0</v>
      </c>
      <c r="U10" s="995">
        <f t="shared" ref="U10:W10" si="7">+U21+U30</f>
        <v>0</v>
      </c>
      <c r="V10" s="995">
        <f t="shared" si="7"/>
        <v>0</v>
      </c>
      <c r="W10" s="995">
        <f t="shared" si="7"/>
        <v>0</v>
      </c>
      <c r="X10" s="352">
        <f>SUM(P10:T10)</f>
        <v>0</v>
      </c>
      <c r="Y10" s="353"/>
    </row>
    <row r="11" spans="1:26" s="1258" customFormat="1" ht="13.5" customHeight="1" thickBot="1">
      <c r="A11" s="727"/>
      <c r="B11" s="1098" t="s">
        <v>21</v>
      </c>
      <c r="C11" s="1099"/>
      <c r="D11" s="1100">
        <f>D39</f>
        <v>98000</v>
      </c>
      <c r="E11" s="1100">
        <f t="shared" ref="E11:Q11" si="8">E39</f>
        <v>0</v>
      </c>
      <c r="F11" s="1100">
        <f t="shared" si="8"/>
        <v>0</v>
      </c>
      <c r="G11" s="1100">
        <f t="shared" si="8"/>
        <v>0</v>
      </c>
      <c r="H11" s="1100">
        <f t="shared" si="8"/>
        <v>0</v>
      </c>
      <c r="I11" s="1100">
        <f t="shared" si="8"/>
        <v>0</v>
      </c>
      <c r="J11" s="1100">
        <f t="shared" si="8"/>
        <v>0</v>
      </c>
      <c r="K11" s="1100">
        <f t="shared" si="8"/>
        <v>0</v>
      </c>
      <c r="L11" s="1100">
        <f t="shared" si="8"/>
        <v>0</v>
      </c>
      <c r="M11" s="1100">
        <f t="shared" ref="M11" si="9">M39</f>
        <v>78573</v>
      </c>
      <c r="N11" s="1100">
        <f t="shared" si="8"/>
        <v>78573</v>
      </c>
      <c r="O11" s="1100">
        <f t="shared" si="8"/>
        <v>19427</v>
      </c>
      <c r="P11" s="1100">
        <f t="shared" si="8"/>
        <v>0</v>
      </c>
      <c r="Q11" s="1100">
        <f t="shared" si="8"/>
        <v>0</v>
      </c>
      <c r="R11" s="1100">
        <f t="shared" ref="R11:T11" si="10">R39</f>
        <v>0</v>
      </c>
      <c r="S11" s="1100">
        <f t="shared" si="10"/>
        <v>0</v>
      </c>
      <c r="T11" s="1100">
        <f t="shared" si="10"/>
        <v>0</v>
      </c>
      <c r="U11" s="1100">
        <f t="shared" ref="U11:W11" si="11">U39</f>
        <v>0</v>
      </c>
      <c r="V11" s="1100">
        <f t="shared" si="11"/>
        <v>0</v>
      </c>
      <c r="W11" s="1100">
        <f t="shared" si="11"/>
        <v>0</v>
      </c>
      <c r="X11" s="744">
        <f>SUM(P11:T11)</f>
        <v>0</v>
      </c>
      <c r="Y11" s="353"/>
    </row>
    <row r="12" spans="1:26" ht="17.25" customHeight="1">
      <c r="A12" s="727"/>
      <c r="B12" s="550" t="s">
        <v>22</v>
      </c>
      <c r="C12" s="545"/>
      <c r="D12" s="607">
        <f>D13+D15</f>
        <v>1717800</v>
      </c>
      <c r="E12" s="607">
        <f t="shared" ref="E12:O12" si="12">E13+E15</f>
        <v>0</v>
      </c>
      <c r="F12" s="607">
        <f t="shared" si="12"/>
        <v>0</v>
      </c>
      <c r="G12" s="607">
        <f t="shared" si="12"/>
        <v>0</v>
      </c>
      <c r="H12" s="607">
        <f t="shared" si="12"/>
        <v>0</v>
      </c>
      <c r="I12" s="607">
        <f t="shared" si="12"/>
        <v>0</v>
      </c>
      <c r="J12" s="607">
        <f t="shared" si="12"/>
        <v>0</v>
      </c>
      <c r="K12" s="607">
        <f t="shared" si="12"/>
        <v>0</v>
      </c>
      <c r="L12" s="607">
        <f t="shared" si="12"/>
        <v>0</v>
      </c>
      <c r="M12" s="607">
        <f t="shared" ref="M12" si="13">M13+M15</f>
        <v>645493</v>
      </c>
      <c r="N12" s="607">
        <f t="shared" si="12"/>
        <v>645493</v>
      </c>
      <c r="O12" s="607">
        <f t="shared" si="12"/>
        <v>1072307</v>
      </c>
      <c r="P12" s="607">
        <f t="shared" ref="P12:T12" si="14">P13+P15</f>
        <v>0</v>
      </c>
      <c r="Q12" s="607">
        <f t="shared" si="14"/>
        <v>0</v>
      </c>
      <c r="R12" s="607">
        <f t="shared" si="14"/>
        <v>0</v>
      </c>
      <c r="S12" s="607">
        <f t="shared" si="14"/>
        <v>0</v>
      </c>
      <c r="T12" s="607">
        <f t="shared" si="14"/>
        <v>0</v>
      </c>
      <c r="U12" s="607">
        <f t="shared" ref="U12:W12" si="15">U13+U15</f>
        <v>0</v>
      </c>
      <c r="V12" s="607">
        <f t="shared" si="15"/>
        <v>0</v>
      </c>
      <c r="W12" s="607">
        <f t="shared" si="15"/>
        <v>0</v>
      </c>
      <c r="X12" s="487">
        <f>+X13+X15</f>
        <v>0</v>
      </c>
      <c r="Y12" s="672"/>
    </row>
    <row r="13" spans="1:26" ht="13.5" customHeight="1">
      <c r="A13" s="727"/>
      <c r="B13" s="1057" t="s">
        <v>36</v>
      </c>
      <c r="C13" s="1058"/>
      <c r="D13" s="1102">
        <f>D14</f>
        <v>257670</v>
      </c>
      <c r="E13" s="1102">
        <f t="shared" ref="E13:K13" si="16">+E14</f>
        <v>0</v>
      </c>
      <c r="F13" s="1102">
        <f t="shared" si="16"/>
        <v>0</v>
      </c>
      <c r="G13" s="1102">
        <f t="shared" si="16"/>
        <v>0</v>
      </c>
      <c r="H13" s="1102">
        <f t="shared" si="16"/>
        <v>0</v>
      </c>
      <c r="I13" s="1102">
        <f t="shared" si="16"/>
        <v>0</v>
      </c>
      <c r="J13" s="1102">
        <f t="shared" si="16"/>
        <v>0</v>
      </c>
      <c r="K13" s="1102">
        <f t="shared" si="16"/>
        <v>0</v>
      </c>
      <c r="L13" s="1102">
        <f>+L14</f>
        <v>0</v>
      </c>
      <c r="M13" s="1102">
        <f>+M14</f>
        <v>2481</v>
      </c>
      <c r="N13" s="1102">
        <f>+N14</f>
        <v>2481</v>
      </c>
      <c r="O13" s="1102">
        <f>+O14</f>
        <v>255189</v>
      </c>
      <c r="P13" s="1102">
        <f t="shared" ref="P13:W13" si="17">+P14</f>
        <v>0</v>
      </c>
      <c r="Q13" s="1102">
        <f t="shared" si="17"/>
        <v>0</v>
      </c>
      <c r="R13" s="1102">
        <f t="shared" si="17"/>
        <v>0</v>
      </c>
      <c r="S13" s="1102">
        <f t="shared" si="17"/>
        <v>0</v>
      </c>
      <c r="T13" s="1102">
        <f t="shared" si="17"/>
        <v>0</v>
      </c>
      <c r="U13" s="1102">
        <f t="shared" si="17"/>
        <v>0</v>
      </c>
      <c r="V13" s="1102">
        <f t="shared" si="17"/>
        <v>0</v>
      </c>
      <c r="W13" s="1102">
        <f t="shared" si="17"/>
        <v>0</v>
      </c>
      <c r="X13" s="1103">
        <f>+X14</f>
        <v>0</v>
      </c>
      <c r="Y13" s="1760"/>
    </row>
    <row r="14" spans="1:26" ht="13.5" customHeight="1">
      <c r="A14" s="727"/>
      <c r="B14" s="368" t="s">
        <v>24</v>
      </c>
      <c r="C14" s="369"/>
      <c r="D14" s="1104">
        <f>D23+D32+D41</f>
        <v>257670</v>
      </c>
      <c r="E14" s="1104">
        <f t="shared" ref="E14:O14" si="18">E23+E32</f>
        <v>0</v>
      </c>
      <c r="F14" s="1104">
        <f t="shared" si="18"/>
        <v>0</v>
      </c>
      <c r="G14" s="1104">
        <f t="shared" si="18"/>
        <v>0</v>
      </c>
      <c r="H14" s="1104">
        <f t="shared" si="18"/>
        <v>0</v>
      </c>
      <c r="I14" s="1104">
        <f t="shared" si="18"/>
        <v>0</v>
      </c>
      <c r="J14" s="1104">
        <f t="shared" si="18"/>
        <v>0</v>
      </c>
      <c r="K14" s="1104">
        <f t="shared" si="18"/>
        <v>0</v>
      </c>
      <c r="L14" s="1104">
        <f t="shared" si="18"/>
        <v>0</v>
      </c>
      <c r="M14" s="1104">
        <f t="shared" ref="M14" si="19">M23+M32</f>
        <v>2481</v>
      </c>
      <c r="N14" s="1104">
        <f t="shared" si="18"/>
        <v>2481</v>
      </c>
      <c r="O14" s="1104">
        <f t="shared" si="18"/>
        <v>255189</v>
      </c>
      <c r="P14" s="1104">
        <f t="shared" ref="P14:T14" si="20">P23+P32</f>
        <v>0</v>
      </c>
      <c r="Q14" s="1104">
        <f t="shared" si="20"/>
        <v>0</v>
      </c>
      <c r="R14" s="1104">
        <f t="shared" si="20"/>
        <v>0</v>
      </c>
      <c r="S14" s="1104">
        <f t="shared" si="20"/>
        <v>0</v>
      </c>
      <c r="T14" s="1104">
        <f t="shared" si="20"/>
        <v>0</v>
      </c>
      <c r="U14" s="1104">
        <f t="shared" ref="U14:W14" si="21">U23+U32</f>
        <v>0</v>
      </c>
      <c r="V14" s="1104">
        <f t="shared" si="21"/>
        <v>0</v>
      </c>
      <c r="W14" s="1104">
        <f t="shared" si="21"/>
        <v>0</v>
      </c>
      <c r="X14" s="416">
        <f>SUM(P14:T14)</f>
        <v>0</v>
      </c>
      <c r="Y14" s="1760"/>
    </row>
    <row r="15" spans="1:26" ht="13.5" customHeight="1">
      <c r="A15" s="727"/>
      <c r="B15" s="1059" t="s">
        <v>30</v>
      </c>
      <c r="C15" s="360"/>
      <c r="D15" s="1102">
        <f>D16</f>
        <v>1460130</v>
      </c>
      <c r="E15" s="1102">
        <f t="shared" ref="E15:W15" si="22">E16</f>
        <v>0</v>
      </c>
      <c r="F15" s="1102">
        <f t="shared" si="22"/>
        <v>0</v>
      </c>
      <c r="G15" s="1102">
        <f t="shared" si="22"/>
        <v>0</v>
      </c>
      <c r="H15" s="1102">
        <f t="shared" si="22"/>
        <v>0</v>
      </c>
      <c r="I15" s="1102">
        <f t="shared" si="22"/>
        <v>0</v>
      </c>
      <c r="J15" s="1102">
        <f t="shared" si="22"/>
        <v>0</v>
      </c>
      <c r="K15" s="1102">
        <f t="shared" si="22"/>
        <v>0</v>
      </c>
      <c r="L15" s="1102">
        <f t="shared" si="22"/>
        <v>0</v>
      </c>
      <c r="M15" s="1102">
        <f t="shared" si="22"/>
        <v>643012</v>
      </c>
      <c r="N15" s="1102">
        <f t="shared" si="22"/>
        <v>643012</v>
      </c>
      <c r="O15" s="1102">
        <f t="shared" si="22"/>
        <v>817118</v>
      </c>
      <c r="P15" s="1102">
        <f t="shared" si="22"/>
        <v>0</v>
      </c>
      <c r="Q15" s="1102">
        <f t="shared" si="22"/>
        <v>0</v>
      </c>
      <c r="R15" s="1102">
        <f t="shared" si="22"/>
        <v>0</v>
      </c>
      <c r="S15" s="1102">
        <f t="shared" si="22"/>
        <v>0</v>
      </c>
      <c r="T15" s="1102">
        <f t="shared" si="22"/>
        <v>0</v>
      </c>
      <c r="U15" s="1102">
        <f t="shared" si="22"/>
        <v>0</v>
      </c>
      <c r="V15" s="1102">
        <f t="shared" si="22"/>
        <v>0</v>
      </c>
      <c r="W15" s="1102">
        <f t="shared" si="22"/>
        <v>0</v>
      </c>
      <c r="X15" s="509"/>
      <c r="Y15" s="1760"/>
    </row>
    <row r="16" spans="1:26" ht="13.5" customHeight="1">
      <c r="A16" s="727"/>
      <c r="B16" s="368" t="s">
        <v>33</v>
      </c>
      <c r="C16" s="379"/>
      <c r="D16" s="1105">
        <f>D25+D34+D43</f>
        <v>1460130</v>
      </c>
      <c r="E16" s="1105">
        <f t="shared" ref="E16:O16" si="23">E25+E34+E43</f>
        <v>0</v>
      </c>
      <c r="F16" s="1105">
        <f t="shared" si="23"/>
        <v>0</v>
      </c>
      <c r="G16" s="1105">
        <f t="shared" si="23"/>
        <v>0</v>
      </c>
      <c r="H16" s="1105">
        <f t="shared" si="23"/>
        <v>0</v>
      </c>
      <c r="I16" s="1105">
        <f t="shared" si="23"/>
        <v>0</v>
      </c>
      <c r="J16" s="1105">
        <f t="shared" si="23"/>
        <v>0</v>
      </c>
      <c r="K16" s="1105">
        <f t="shared" si="23"/>
        <v>0</v>
      </c>
      <c r="L16" s="1105">
        <f t="shared" si="23"/>
        <v>0</v>
      </c>
      <c r="M16" s="1105">
        <f t="shared" ref="M16" si="24">M25+M34+M43</f>
        <v>643012</v>
      </c>
      <c r="N16" s="1105">
        <f t="shared" si="23"/>
        <v>643012</v>
      </c>
      <c r="O16" s="1105">
        <f t="shared" si="23"/>
        <v>817118</v>
      </c>
      <c r="P16" s="1105">
        <f t="shared" ref="P16:T16" si="25">P25+P34+P43</f>
        <v>0</v>
      </c>
      <c r="Q16" s="1105">
        <f t="shared" si="25"/>
        <v>0</v>
      </c>
      <c r="R16" s="1105">
        <f t="shared" si="25"/>
        <v>0</v>
      </c>
      <c r="S16" s="1105">
        <f t="shared" si="25"/>
        <v>0</v>
      </c>
      <c r="T16" s="1105">
        <f t="shared" si="25"/>
        <v>0</v>
      </c>
      <c r="U16" s="1105">
        <f t="shared" ref="U16:W16" si="26">U25+U34+U43</f>
        <v>0</v>
      </c>
      <c r="V16" s="1105">
        <f t="shared" si="26"/>
        <v>0</v>
      </c>
      <c r="W16" s="1105">
        <f t="shared" si="26"/>
        <v>0</v>
      </c>
      <c r="X16" s="416">
        <f>SUM(P16:T16)</f>
        <v>0</v>
      </c>
      <c r="Y16" s="1760"/>
    </row>
    <row r="17" spans="1:29" ht="16.5" customHeight="1">
      <c r="A17" s="727"/>
      <c r="B17" s="381" t="s">
        <v>34</v>
      </c>
      <c r="C17" s="382"/>
      <c r="D17" s="407">
        <f>D18</f>
        <v>1460130</v>
      </c>
      <c r="E17" s="407">
        <f t="shared" ref="E17:U18" si="27">E18</f>
        <v>0</v>
      </c>
      <c r="F17" s="407">
        <f t="shared" si="27"/>
        <v>0</v>
      </c>
      <c r="G17" s="407">
        <f t="shared" si="27"/>
        <v>0</v>
      </c>
      <c r="H17" s="407">
        <f t="shared" si="27"/>
        <v>0</v>
      </c>
      <c r="I17" s="407">
        <f t="shared" si="27"/>
        <v>0</v>
      </c>
      <c r="J17" s="407">
        <f t="shared" si="27"/>
        <v>0</v>
      </c>
      <c r="K17" s="407">
        <f t="shared" si="27"/>
        <v>0</v>
      </c>
      <c r="L17" s="407">
        <f t="shared" si="27"/>
        <v>570930</v>
      </c>
      <c r="M17" s="407">
        <f t="shared" si="27"/>
        <v>720930</v>
      </c>
      <c r="N17" s="407">
        <f t="shared" si="27"/>
        <v>150000</v>
      </c>
      <c r="O17" s="407">
        <f t="shared" si="27"/>
        <v>739200</v>
      </c>
      <c r="P17" s="407">
        <f t="shared" si="27"/>
        <v>0</v>
      </c>
      <c r="Q17" s="407">
        <f t="shared" si="27"/>
        <v>0</v>
      </c>
      <c r="R17" s="407">
        <f t="shared" si="27"/>
        <v>0</v>
      </c>
      <c r="S17" s="407">
        <f t="shared" si="27"/>
        <v>0</v>
      </c>
      <c r="T17" s="407">
        <f t="shared" si="27"/>
        <v>0</v>
      </c>
      <c r="U17" s="407">
        <f t="shared" si="27"/>
        <v>0</v>
      </c>
      <c r="V17" s="407">
        <f t="shared" ref="U17:W18" si="28">V18</f>
        <v>0</v>
      </c>
      <c r="W17" s="407">
        <f t="shared" si="28"/>
        <v>0</v>
      </c>
      <c r="X17" s="4002" t="s">
        <v>77</v>
      </c>
      <c r="Y17" s="1760"/>
    </row>
    <row r="18" spans="1:29" s="1259" customFormat="1" ht="15" customHeight="1">
      <c r="A18" s="1106"/>
      <c r="B18" s="1107" t="s">
        <v>30</v>
      </c>
      <c r="C18" s="1108"/>
      <c r="D18" s="1109">
        <f>D19</f>
        <v>1460130</v>
      </c>
      <c r="E18" s="1109">
        <f t="shared" si="27"/>
        <v>0</v>
      </c>
      <c r="F18" s="1109">
        <f t="shared" si="27"/>
        <v>0</v>
      </c>
      <c r="G18" s="1109">
        <f t="shared" si="27"/>
        <v>0</v>
      </c>
      <c r="H18" s="1109">
        <f t="shared" si="27"/>
        <v>0</v>
      </c>
      <c r="I18" s="1109">
        <f t="shared" si="27"/>
        <v>0</v>
      </c>
      <c r="J18" s="1109">
        <f t="shared" si="27"/>
        <v>0</v>
      </c>
      <c r="K18" s="1109">
        <f t="shared" si="27"/>
        <v>0</v>
      </c>
      <c r="L18" s="1109">
        <f t="shared" si="27"/>
        <v>570930</v>
      </c>
      <c r="M18" s="1109">
        <f t="shared" si="27"/>
        <v>720930</v>
      </c>
      <c r="N18" s="1109">
        <f t="shared" si="27"/>
        <v>150000</v>
      </c>
      <c r="O18" s="1109">
        <f t="shared" si="27"/>
        <v>739200</v>
      </c>
      <c r="P18" s="1109">
        <f t="shared" si="27"/>
        <v>0</v>
      </c>
      <c r="Q18" s="1109">
        <f t="shared" si="27"/>
        <v>0</v>
      </c>
      <c r="R18" s="1109">
        <f t="shared" si="27"/>
        <v>0</v>
      </c>
      <c r="S18" s="1109">
        <f t="shared" si="27"/>
        <v>0</v>
      </c>
      <c r="T18" s="1109">
        <f t="shared" si="27"/>
        <v>0</v>
      </c>
      <c r="U18" s="1109">
        <f t="shared" si="28"/>
        <v>0</v>
      </c>
      <c r="V18" s="1109">
        <f t="shared" si="28"/>
        <v>0</v>
      </c>
      <c r="W18" s="1109">
        <f t="shared" si="28"/>
        <v>0</v>
      </c>
      <c r="X18" s="4003"/>
      <c r="Y18" s="1110"/>
    </row>
    <row r="19" spans="1:29" ht="12.75" thickBot="1">
      <c r="A19" s="883"/>
      <c r="B19" s="1068" t="s">
        <v>33</v>
      </c>
      <c r="C19" s="392"/>
      <c r="D19" s="1111">
        <f>D28+D37+D46</f>
        <v>1460130</v>
      </c>
      <c r="E19" s="1111">
        <f t="shared" ref="E19:N19" si="29">E28+E37+E46</f>
        <v>0</v>
      </c>
      <c r="F19" s="1111">
        <f t="shared" si="29"/>
        <v>0</v>
      </c>
      <c r="G19" s="1111">
        <f t="shared" si="29"/>
        <v>0</v>
      </c>
      <c r="H19" s="1111">
        <f t="shared" si="29"/>
        <v>0</v>
      </c>
      <c r="I19" s="1111">
        <f t="shared" si="29"/>
        <v>0</v>
      </c>
      <c r="J19" s="1111">
        <f t="shared" si="29"/>
        <v>0</v>
      </c>
      <c r="K19" s="1111">
        <f t="shared" si="29"/>
        <v>0</v>
      </c>
      <c r="L19" s="1111">
        <f t="shared" si="29"/>
        <v>570930</v>
      </c>
      <c r="M19" s="1111">
        <f t="shared" ref="M19" si="30">M28+M37+M46</f>
        <v>720930</v>
      </c>
      <c r="N19" s="1111">
        <f t="shared" si="29"/>
        <v>150000</v>
      </c>
      <c r="O19" s="1111">
        <f>O28+O37+O46</f>
        <v>739200</v>
      </c>
      <c r="P19" s="1111">
        <f t="shared" ref="P19:T19" si="31">P28+P37+P46</f>
        <v>0</v>
      </c>
      <c r="Q19" s="1111">
        <f t="shared" si="31"/>
        <v>0</v>
      </c>
      <c r="R19" s="1111">
        <f t="shared" si="31"/>
        <v>0</v>
      </c>
      <c r="S19" s="1111">
        <f t="shared" si="31"/>
        <v>0</v>
      </c>
      <c r="T19" s="1111">
        <f t="shared" si="31"/>
        <v>0</v>
      </c>
      <c r="U19" s="1111">
        <f t="shared" ref="U19:W19" si="32">U28+U37+U46</f>
        <v>0</v>
      </c>
      <c r="V19" s="1111">
        <f t="shared" si="32"/>
        <v>0</v>
      </c>
      <c r="W19" s="1111">
        <f t="shared" si="32"/>
        <v>0</v>
      </c>
      <c r="X19" s="4004"/>
      <c r="Y19" s="729"/>
      <c r="Z19" s="1260"/>
    </row>
    <row r="20" spans="1:29" ht="24.75" hidden="1" thickBot="1">
      <c r="A20" s="4702"/>
      <c r="B20" s="1112" t="s">
        <v>434</v>
      </c>
      <c r="C20" s="1113" t="s">
        <v>131</v>
      </c>
      <c r="D20" s="1114"/>
      <c r="E20" s="1115"/>
      <c r="F20" s="1115"/>
      <c r="G20" s="1115"/>
      <c r="H20" s="1115"/>
      <c r="I20" s="1115"/>
      <c r="J20" s="1115"/>
      <c r="K20" s="1115"/>
      <c r="L20" s="1116"/>
      <c r="M20" s="1116"/>
      <c r="N20" s="1116"/>
      <c r="O20" s="1116"/>
      <c r="P20" s="1117"/>
      <c r="Q20" s="1117"/>
      <c r="R20" s="1117"/>
      <c r="S20" s="1117"/>
      <c r="T20" s="1117"/>
      <c r="U20" s="1117"/>
      <c r="V20" s="1117"/>
      <c r="W20" s="1117"/>
      <c r="X20" s="1118"/>
      <c r="Y20" s="4705" t="s">
        <v>363</v>
      </c>
    </row>
    <row r="21" spans="1:29" ht="12.75" hidden="1" thickBot="1">
      <c r="A21" s="4703"/>
      <c r="B21" s="506" t="s">
        <v>22</v>
      </c>
      <c r="C21" s="382"/>
      <c r="D21" s="450">
        <f t="shared" ref="D21:N21" si="33">+D22+D24</f>
        <v>0</v>
      </c>
      <c r="E21" s="450">
        <f t="shared" si="33"/>
        <v>0</v>
      </c>
      <c r="F21" s="450">
        <f t="shared" si="33"/>
        <v>0</v>
      </c>
      <c r="G21" s="450">
        <f t="shared" si="33"/>
        <v>0</v>
      </c>
      <c r="H21" s="450">
        <f t="shared" si="33"/>
        <v>0</v>
      </c>
      <c r="I21" s="450">
        <f t="shared" si="33"/>
        <v>0</v>
      </c>
      <c r="J21" s="450">
        <f t="shared" si="33"/>
        <v>0</v>
      </c>
      <c r="K21" s="450">
        <f t="shared" si="33"/>
        <v>0</v>
      </c>
      <c r="L21" s="450">
        <f t="shared" si="33"/>
        <v>0</v>
      </c>
      <c r="M21" s="450">
        <f t="shared" ref="M21" si="34">+M22+M24</f>
        <v>0</v>
      </c>
      <c r="N21" s="450">
        <f t="shared" si="33"/>
        <v>0</v>
      </c>
      <c r="O21" s="450"/>
      <c r="P21" s="450"/>
      <c r="Q21" s="450"/>
      <c r="R21" s="450"/>
      <c r="S21" s="450"/>
      <c r="T21" s="450"/>
      <c r="U21" s="450"/>
      <c r="V21" s="450"/>
      <c r="W21" s="450"/>
      <c r="X21" s="487">
        <f>+X22+X24</f>
        <v>0</v>
      </c>
      <c r="Y21" s="4706"/>
      <c r="Z21" s="1260"/>
      <c r="AA21" s="1260"/>
    </row>
    <row r="22" spans="1:29" ht="12.75" hidden="1" thickBot="1">
      <c r="A22" s="4703"/>
      <c r="B22" s="507" t="s">
        <v>36</v>
      </c>
      <c r="C22" s="4129" t="s">
        <v>364</v>
      </c>
      <c r="D22" s="571">
        <f>+D23</f>
        <v>0</v>
      </c>
      <c r="E22" s="571">
        <f t="shared" ref="E22:J22" si="35">+E23</f>
        <v>0</v>
      </c>
      <c r="F22" s="1119">
        <f t="shared" si="35"/>
        <v>0</v>
      </c>
      <c r="G22" s="886">
        <f t="shared" si="35"/>
        <v>0</v>
      </c>
      <c r="H22" s="571">
        <f t="shared" si="35"/>
        <v>0</v>
      </c>
      <c r="I22" s="571">
        <f t="shared" si="35"/>
        <v>0</v>
      </c>
      <c r="J22" s="571">
        <f t="shared" si="35"/>
        <v>0</v>
      </c>
      <c r="K22" s="886">
        <f>+K23</f>
        <v>0</v>
      </c>
      <c r="L22" s="886">
        <f>+L23</f>
        <v>0</v>
      </c>
      <c r="M22" s="886">
        <f>+M23</f>
        <v>0</v>
      </c>
      <c r="N22" s="886">
        <f>+N23</f>
        <v>0</v>
      </c>
      <c r="O22" s="886"/>
      <c r="P22" s="559"/>
      <c r="Q22" s="559"/>
      <c r="R22" s="559"/>
      <c r="S22" s="559"/>
      <c r="T22" s="559"/>
      <c r="U22" s="559"/>
      <c r="V22" s="559"/>
      <c r="W22" s="559"/>
      <c r="X22" s="1101">
        <f>+X23</f>
        <v>0</v>
      </c>
      <c r="Y22" s="4707"/>
    </row>
    <row r="23" spans="1:29" ht="12.75" hidden="1" thickBot="1">
      <c r="A23" s="4703"/>
      <c r="B23" s="491" t="s">
        <v>24</v>
      </c>
      <c r="C23" s="4709"/>
      <c r="D23" s="463">
        <f>M23+O23+P23+Q23+R23+S23+T23+U23+V23+W23</f>
        <v>0</v>
      </c>
      <c r="E23" s="463">
        <v>0</v>
      </c>
      <c r="F23" s="464"/>
      <c r="G23" s="464"/>
      <c r="H23" s="463"/>
      <c r="I23" s="463">
        <v>0</v>
      </c>
      <c r="J23" s="463">
        <v>0</v>
      </c>
      <c r="K23" s="463">
        <v>0</v>
      </c>
      <c r="L23" s="463">
        <v>0</v>
      </c>
      <c r="M23" s="463">
        <v>0</v>
      </c>
      <c r="N23" s="463">
        <v>0</v>
      </c>
      <c r="O23" s="463"/>
      <c r="P23" s="464"/>
      <c r="Q23" s="464"/>
      <c r="R23" s="464"/>
      <c r="S23" s="464"/>
      <c r="T23" s="464"/>
      <c r="U23" s="464"/>
      <c r="V23" s="464"/>
      <c r="W23" s="464"/>
      <c r="X23" s="416">
        <f>SUM(P23:T23)</f>
        <v>0</v>
      </c>
      <c r="Y23" s="4707"/>
    </row>
    <row r="24" spans="1:29" ht="12.75" hidden="1" thickBot="1">
      <c r="A24" s="4703"/>
      <c r="B24" s="547" t="s">
        <v>30</v>
      </c>
      <c r="C24" s="4709"/>
      <c r="D24" s="1120">
        <f t="shared" ref="D24:X24" si="36">+D25</f>
        <v>0</v>
      </c>
      <c r="E24" s="1120">
        <f t="shared" si="36"/>
        <v>0</v>
      </c>
      <c r="F24" s="1120">
        <f t="shared" si="36"/>
        <v>0</v>
      </c>
      <c r="G24" s="1120">
        <f t="shared" si="36"/>
        <v>0</v>
      </c>
      <c r="H24" s="1120">
        <f t="shared" si="36"/>
        <v>0</v>
      </c>
      <c r="I24" s="571">
        <f t="shared" si="36"/>
        <v>0</v>
      </c>
      <c r="J24" s="571">
        <f t="shared" si="36"/>
        <v>0</v>
      </c>
      <c r="K24" s="886">
        <f t="shared" si="36"/>
        <v>0</v>
      </c>
      <c r="L24" s="571">
        <f t="shared" si="36"/>
        <v>0</v>
      </c>
      <c r="M24" s="571">
        <f t="shared" si="36"/>
        <v>0</v>
      </c>
      <c r="N24" s="571">
        <f t="shared" si="36"/>
        <v>0</v>
      </c>
      <c r="O24" s="571"/>
      <c r="P24" s="577"/>
      <c r="Q24" s="577"/>
      <c r="R24" s="577"/>
      <c r="S24" s="577"/>
      <c r="T24" s="577"/>
      <c r="U24" s="577"/>
      <c r="V24" s="577"/>
      <c r="W24" s="577"/>
      <c r="X24" s="509">
        <f t="shared" si="36"/>
        <v>0</v>
      </c>
      <c r="Y24" s="4707"/>
    </row>
    <row r="25" spans="1:29" ht="12.75" hidden="1" thickBot="1">
      <c r="A25" s="4703"/>
      <c r="B25" s="491" t="s">
        <v>33</v>
      </c>
      <c r="C25" s="4709"/>
      <c r="D25" s="463">
        <f>M25+O25+P25+Q25+R25+S25+T25+U25+V25+W25</f>
        <v>0</v>
      </c>
      <c r="E25" s="461">
        <v>0</v>
      </c>
      <c r="F25" s="469">
        <v>0</v>
      </c>
      <c r="G25" s="469"/>
      <c r="H25" s="461"/>
      <c r="I25" s="461">
        <v>0</v>
      </c>
      <c r="J25" s="461">
        <v>0</v>
      </c>
      <c r="K25" s="461">
        <v>0</v>
      </c>
      <c r="L25" s="461">
        <v>0</v>
      </c>
      <c r="M25" s="463">
        <v>0</v>
      </c>
      <c r="N25" s="461">
        <v>0</v>
      </c>
      <c r="O25" s="461"/>
      <c r="P25" s="469"/>
      <c r="Q25" s="469"/>
      <c r="R25" s="469"/>
      <c r="S25" s="469"/>
      <c r="T25" s="469"/>
      <c r="U25" s="469"/>
      <c r="V25" s="469"/>
      <c r="W25" s="469"/>
      <c r="X25" s="416">
        <f>SUM(P25:T25)</f>
        <v>0</v>
      </c>
      <c r="Y25" s="4707"/>
    </row>
    <row r="26" spans="1:29" ht="12" hidden="1" customHeight="1">
      <c r="A26" s="4703"/>
      <c r="B26" s="506" t="s">
        <v>34</v>
      </c>
      <c r="C26" s="382"/>
      <c r="D26" s="471">
        <f>+D27</f>
        <v>0</v>
      </c>
      <c r="E26" s="471">
        <f t="shared" ref="E26:O27" si="37">+E27</f>
        <v>0</v>
      </c>
      <c r="F26" s="471">
        <f t="shared" si="37"/>
        <v>0</v>
      </c>
      <c r="G26" s="471">
        <f t="shared" si="37"/>
        <v>0</v>
      </c>
      <c r="H26" s="471">
        <f t="shared" si="37"/>
        <v>0</v>
      </c>
      <c r="I26" s="471">
        <f t="shared" si="37"/>
        <v>0</v>
      </c>
      <c r="J26" s="471">
        <f t="shared" si="37"/>
        <v>0</v>
      </c>
      <c r="K26" s="471">
        <f t="shared" si="37"/>
        <v>0</v>
      </c>
      <c r="L26" s="471">
        <f t="shared" si="37"/>
        <v>0</v>
      </c>
      <c r="M26" s="471">
        <f t="shared" si="37"/>
        <v>0</v>
      </c>
      <c r="N26" s="471">
        <f t="shared" si="37"/>
        <v>0</v>
      </c>
      <c r="O26" s="471">
        <f t="shared" si="37"/>
        <v>0</v>
      </c>
      <c r="P26" s="471"/>
      <c r="Q26" s="471"/>
      <c r="R26" s="450"/>
      <c r="S26" s="450"/>
      <c r="T26" s="450"/>
      <c r="U26" s="450"/>
      <c r="V26" s="450"/>
      <c r="W26" s="450"/>
      <c r="X26" s="4002" t="s">
        <v>77</v>
      </c>
      <c r="Y26" s="4707"/>
    </row>
    <row r="27" spans="1:29" ht="12" hidden="1" customHeight="1">
      <c r="A27" s="4703"/>
      <c r="B27" s="547" t="s">
        <v>30</v>
      </c>
      <c r="C27" s="4174" t="s">
        <v>364</v>
      </c>
      <c r="D27" s="1120">
        <f>+D28</f>
        <v>0</v>
      </c>
      <c r="E27" s="1120">
        <f t="shared" si="37"/>
        <v>0</v>
      </c>
      <c r="F27" s="1120">
        <f t="shared" si="37"/>
        <v>0</v>
      </c>
      <c r="G27" s="1120">
        <f t="shared" si="37"/>
        <v>0</v>
      </c>
      <c r="H27" s="1120">
        <f t="shared" si="37"/>
        <v>0</v>
      </c>
      <c r="I27" s="1120">
        <f t="shared" si="37"/>
        <v>0</v>
      </c>
      <c r="J27" s="1120">
        <f t="shared" si="37"/>
        <v>0</v>
      </c>
      <c r="K27" s="1120">
        <f t="shared" si="37"/>
        <v>0</v>
      </c>
      <c r="L27" s="1120">
        <f t="shared" si="37"/>
        <v>0</v>
      </c>
      <c r="M27" s="1120">
        <f t="shared" si="37"/>
        <v>0</v>
      </c>
      <c r="N27" s="1120">
        <f t="shared" si="37"/>
        <v>0</v>
      </c>
      <c r="O27" s="1120">
        <f t="shared" si="37"/>
        <v>0</v>
      </c>
      <c r="P27" s="1120"/>
      <c r="Q27" s="1120"/>
      <c r="R27" s="1120"/>
      <c r="S27" s="1120"/>
      <c r="T27" s="1120"/>
      <c r="U27" s="1120"/>
      <c r="V27" s="1120"/>
      <c r="W27" s="1120"/>
      <c r="X27" s="4003"/>
      <c r="Y27" s="4707"/>
    </row>
    <row r="28" spans="1:29" ht="13.5" hidden="1" customHeight="1" thickBot="1">
      <c r="A28" s="4704"/>
      <c r="B28" s="1258" t="s">
        <v>33</v>
      </c>
      <c r="C28" s="4710"/>
      <c r="D28" s="463">
        <f>M28+O28+P28+Q28+R28+S28+T28+U28+V28+W28</f>
        <v>0</v>
      </c>
      <c r="E28" s="1121"/>
      <c r="F28" s="1122"/>
      <c r="G28" s="1122"/>
      <c r="H28" s="1122"/>
      <c r="I28" s="1122">
        <v>0</v>
      </c>
      <c r="J28" s="1122">
        <v>0</v>
      </c>
      <c r="K28" s="1122">
        <v>0</v>
      </c>
      <c r="L28" s="1122">
        <v>0</v>
      </c>
      <c r="M28" s="463">
        <v>0</v>
      </c>
      <c r="N28" s="1122">
        <v>0</v>
      </c>
      <c r="O28" s="1122">
        <v>0</v>
      </c>
      <c r="P28" s="1123"/>
      <c r="Q28" s="1123"/>
      <c r="R28" s="1123"/>
      <c r="S28" s="1123"/>
      <c r="T28" s="1123"/>
      <c r="U28" s="1123"/>
      <c r="V28" s="1123"/>
      <c r="W28" s="1123"/>
      <c r="X28" s="4004"/>
      <c r="Y28" s="4708"/>
    </row>
    <row r="29" spans="1:29" ht="24">
      <c r="A29" s="4702" t="s">
        <v>79</v>
      </c>
      <c r="B29" s="1112" t="s">
        <v>433</v>
      </c>
      <c r="C29" s="1113" t="s">
        <v>131</v>
      </c>
      <c r="D29" s="1114"/>
      <c r="E29" s="1115"/>
      <c r="F29" s="1115"/>
      <c r="G29" s="1115"/>
      <c r="H29" s="1115"/>
      <c r="I29" s="1115"/>
      <c r="J29" s="1115"/>
      <c r="K29" s="1115"/>
      <c r="L29" s="1116"/>
      <c r="M29" s="1116"/>
      <c r="N29" s="1116"/>
      <c r="O29" s="1116"/>
      <c r="P29" s="1117"/>
      <c r="Q29" s="1117"/>
      <c r="R29" s="1117"/>
      <c r="S29" s="1117"/>
      <c r="T29" s="1117"/>
      <c r="U29" s="1117"/>
      <c r="V29" s="1117"/>
      <c r="W29" s="1117"/>
      <c r="X29" s="1523"/>
      <c r="Y29" s="4711" t="s">
        <v>365</v>
      </c>
    </row>
    <row r="30" spans="1:29" ht="15.75" customHeight="1">
      <c r="A30" s="4703"/>
      <c r="B30" s="506" t="s">
        <v>22</v>
      </c>
      <c r="C30" s="382"/>
      <c r="D30" s="471">
        <f t="shared" ref="D30:O30" si="38">+D31+D33</f>
        <v>1619800</v>
      </c>
      <c r="E30" s="450">
        <f t="shared" si="38"/>
        <v>0</v>
      </c>
      <c r="F30" s="450">
        <f t="shared" si="38"/>
        <v>0</v>
      </c>
      <c r="G30" s="450">
        <f t="shared" si="38"/>
        <v>0</v>
      </c>
      <c r="H30" s="450">
        <f t="shared" si="38"/>
        <v>0</v>
      </c>
      <c r="I30" s="450">
        <f t="shared" si="38"/>
        <v>0</v>
      </c>
      <c r="J30" s="450">
        <f t="shared" si="38"/>
        <v>0</v>
      </c>
      <c r="K30" s="450">
        <f t="shared" si="38"/>
        <v>0</v>
      </c>
      <c r="L30" s="450">
        <f t="shared" si="38"/>
        <v>0</v>
      </c>
      <c r="M30" s="450">
        <f t="shared" ref="M30" si="39">+M31+M33</f>
        <v>566920</v>
      </c>
      <c r="N30" s="450">
        <f t="shared" si="38"/>
        <v>566920</v>
      </c>
      <c r="O30" s="450">
        <f t="shared" si="38"/>
        <v>1052880</v>
      </c>
      <c r="P30" s="450"/>
      <c r="Q30" s="450"/>
      <c r="R30" s="450"/>
      <c r="S30" s="450"/>
      <c r="T30" s="450"/>
      <c r="U30" s="450"/>
      <c r="V30" s="450"/>
      <c r="W30" s="450"/>
      <c r="X30" s="487">
        <f>+X31+X33</f>
        <v>0</v>
      </c>
      <c r="Y30" s="4712"/>
      <c r="Z30" s="1260"/>
      <c r="AA30" s="1260"/>
      <c r="AB30" s="1260"/>
      <c r="AC30" s="1260"/>
    </row>
    <row r="31" spans="1:29" ht="12">
      <c r="A31" s="4703"/>
      <c r="B31" s="507" t="s">
        <v>36</v>
      </c>
      <c r="C31" s="4129" t="s">
        <v>366</v>
      </c>
      <c r="D31" s="518">
        <f>+D32</f>
        <v>257670</v>
      </c>
      <c r="E31" s="518">
        <f t="shared" ref="E31:J31" si="40">+E32</f>
        <v>0</v>
      </c>
      <c r="F31" s="518">
        <f t="shared" si="40"/>
        <v>0</v>
      </c>
      <c r="G31" s="518">
        <f t="shared" si="40"/>
        <v>0</v>
      </c>
      <c r="H31" s="518">
        <f t="shared" si="40"/>
        <v>0</v>
      </c>
      <c r="I31" s="518">
        <f t="shared" si="40"/>
        <v>0</v>
      </c>
      <c r="J31" s="518">
        <f t="shared" si="40"/>
        <v>0</v>
      </c>
      <c r="K31" s="885">
        <f>+K32</f>
        <v>0</v>
      </c>
      <c r="L31" s="884">
        <f>+L32</f>
        <v>0</v>
      </c>
      <c r="M31" s="884">
        <f>+M32</f>
        <v>2481</v>
      </c>
      <c r="N31" s="885">
        <f>+N32</f>
        <v>2481</v>
      </c>
      <c r="O31" s="885">
        <f>+O32</f>
        <v>255189</v>
      </c>
      <c r="P31" s="559"/>
      <c r="Q31" s="559"/>
      <c r="R31" s="559"/>
      <c r="S31" s="653"/>
      <c r="T31" s="653"/>
      <c r="U31" s="653"/>
      <c r="V31" s="653"/>
      <c r="W31" s="653"/>
      <c r="X31" s="509">
        <f>+X32</f>
        <v>0</v>
      </c>
      <c r="Y31" s="4713"/>
    </row>
    <row r="32" spans="1:29" ht="11.25" customHeight="1">
      <c r="A32" s="4703"/>
      <c r="B32" s="491" t="s">
        <v>24</v>
      </c>
      <c r="C32" s="4709"/>
      <c r="D32" s="463">
        <f>M32+O32+P32+Q32+R32+S32+T32+U32+V32+W32</f>
        <v>257670</v>
      </c>
      <c r="E32" s="463"/>
      <c r="F32" s="464"/>
      <c r="G32" s="464"/>
      <c r="H32" s="463"/>
      <c r="I32" s="463"/>
      <c r="J32" s="463"/>
      <c r="K32" s="463"/>
      <c r="L32" s="463">
        <v>0</v>
      </c>
      <c r="M32" s="463">
        <f>+E32+I32+J32+K32+L32+N32</f>
        <v>2481</v>
      </c>
      <c r="N32" s="464">
        <f>200000-197519</f>
        <v>2481</v>
      </c>
      <c r="O32" s="464">
        <f>57670+197519</f>
        <v>255189</v>
      </c>
      <c r="P32" s="464"/>
      <c r="Q32" s="464"/>
      <c r="R32" s="464"/>
      <c r="S32" s="464"/>
      <c r="T32" s="464"/>
      <c r="U32" s="464"/>
      <c r="V32" s="464"/>
      <c r="W32" s="464"/>
      <c r="X32" s="416">
        <f>SUM(P32:T32)</f>
        <v>0</v>
      </c>
      <c r="Y32" s="4713"/>
    </row>
    <row r="33" spans="1:27" ht="12">
      <c r="A33" s="4703"/>
      <c r="B33" s="547" t="s">
        <v>30</v>
      </c>
      <c r="C33" s="4709"/>
      <c r="D33" s="1124">
        <f t="shared" ref="D33:X33" si="41">+D34</f>
        <v>1362130</v>
      </c>
      <c r="E33" s="1120">
        <f t="shared" si="41"/>
        <v>0</v>
      </c>
      <c r="F33" s="1120">
        <f t="shared" si="41"/>
        <v>0</v>
      </c>
      <c r="G33" s="1120">
        <f t="shared" si="41"/>
        <v>0</v>
      </c>
      <c r="H33" s="1120">
        <f t="shared" si="41"/>
        <v>0</v>
      </c>
      <c r="I33" s="571">
        <f t="shared" si="41"/>
        <v>0</v>
      </c>
      <c r="J33" s="571">
        <f t="shared" si="41"/>
        <v>0</v>
      </c>
      <c r="K33" s="886">
        <f t="shared" si="41"/>
        <v>0</v>
      </c>
      <c r="L33" s="571">
        <f t="shared" si="41"/>
        <v>0</v>
      </c>
      <c r="M33" s="571">
        <f t="shared" si="41"/>
        <v>564439</v>
      </c>
      <c r="N33" s="886">
        <f t="shared" si="41"/>
        <v>564439</v>
      </c>
      <c r="O33" s="886">
        <f t="shared" si="41"/>
        <v>797691</v>
      </c>
      <c r="P33" s="886"/>
      <c r="Q33" s="886"/>
      <c r="R33" s="886"/>
      <c r="S33" s="1119"/>
      <c r="T33" s="1119"/>
      <c r="U33" s="1119"/>
      <c r="V33" s="1119"/>
      <c r="W33" s="1119"/>
      <c r="X33" s="509">
        <f t="shared" si="41"/>
        <v>0</v>
      </c>
      <c r="Y33" s="4713"/>
    </row>
    <row r="34" spans="1:27" ht="12.75">
      <c r="A34" s="4703"/>
      <c r="B34" s="1125" t="s">
        <v>33</v>
      </c>
      <c r="C34" s="4709"/>
      <c r="D34" s="463">
        <f>M34+O34+P34+Q34+R34+S34+T34+U34+V34+W34</f>
        <v>1362130</v>
      </c>
      <c r="E34" s="461"/>
      <c r="F34" s="469"/>
      <c r="G34" s="469"/>
      <c r="H34" s="461"/>
      <c r="I34" s="461"/>
      <c r="J34" s="461"/>
      <c r="K34" s="461"/>
      <c r="L34" s="461">
        <v>0</v>
      </c>
      <c r="M34" s="463">
        <f>+E34+I34+J34+K34+L34+N34</f>
        <v>564439</v>
      </c>
      <c r="N34" s="469">
        <f>1036150-471711</f>
        <v>564439</v>
      </c>
      <c r="O34" s="469">
        <f>325980+471711</f>
        <v>797691</v>
      </c>
      <c r="P34" s="469"/>
      <c r="Q34" s="469"/>
      <c r="R34" s="469"/>
      <c r="S34" s="469"/>
      <c r="T34" s="469"/>
      <c r="U34" s="469"/>
      <c r="V34" s="469"/>
      <c r="W34" s="469"/>
      <c r="X34" s="1704">
        <f>SUM(P34:T34)</f>
        <v>0</v>
      </c>
      <c r="Y34" s="4707"/>
    </row>
    <row r="35" spans="1:27" ht="15" customHeight="1">
      <c r="A35" s="4703"/>
      <c r="B35" s="512" t="s">
        <v>34</v>
      </c>
      <c r="C35" s="382"/>
      <c r="D35" s="471">
        <f>+D36</f>
        <v>1362130</v>
      </c>
      <c r="E35" s="471">
        <f t="shared" ref="E35:O36" si="42">+E36</f>
        <v>0</v>
      </c>
      <c r="F35" s="471">
        <f t="shared" si="42"/>
        <v>0</v>
      </c>
      <c r="G35" s="471">
        <f t="shared" si="42"/>
        <v>0</v>
      </c>
      <c r="H35" s="471">
        <f t="shared" si="42"/>
        <v>0</v>
      </c>
      <c r="I35" s="471">
        <f t="shared" si="42"/>
        <v>0</v>
      </c>
      <c r="J35" s="471">
        <f t="shared" si="42"/>
        <v>0</v>
      </c>
      <c r="K35" s="471">
        <f t="shared" si="42"/>
        <v>0</v>
      </c>
      <c r="L35" s="471">
        <f t="shared" si="42"/>
        <v>472930</v>
      </c>
      <c r="M35" s="471">
        <f t="shared" si="42"/>
        <v>622930</v>
      </c>
      <c r="N35" s="471">
        <f t="shared" si="42"/>
        <v>150000</v>
      </c>
      <c r="O35" s="471">
        <f t="shared" si="42"/>
        <v>739200</v>
      </c>
      <c r="P35" s="471"/>
      <c r="Q35" s="471"/>
      <c r="R35" s="450"/>
      <c r="S35" s="450"/>
      <c r="T35" s="450"/>
      <c r="U35" s="450"/>
      <c r="V35" s="450"/>
      <c r="W35" s="450"/>
      <c r="X35" s="4642" t="s">
        <v>77</v>
      </c>
      <c r="Y35" s="4707"/>
    </row>
    <row r="36" spans="1:27" ht="12">
      <c r="A36" s="4703"/>
      <c r="B36" s="547" t="s">
        <v>30</v>
      </c>
      <c r="C36" s="4174" t="s">
        <v>367</v>
      </c>
      <c r="D36" s="1124">
        <f>+D37</f>
        <v>1362130</v>
      </c>
      <c r="E36" s="1120">
        <f t="shared" si="42"/>
        <v>0</v>
      </c>
      <c r="F36" s="1120">
        <f t="shared" si="42"/>
        <v>0</v>
      </c>
      <c r="G36" s="1120">
        <f t="shared" si="42"/>
        <v>0</v>
      </c>
      <c r="H36" s="1120">
        <f t="shared" si="42"/>
        <v>0</v>
      </c>
      <c r="I36" s="1120">
        <f t="shared" si="42"/>
        <v>0</v>
      </c>
      <c r="J36" s="1120">
        <f t="shared" si="42"/>
        <v>0</v>
      </c>
      <c r="K36" s="1120">
        <f t="shared" si="42"/>
        <v>0</v>
      </c>
      <c r="L36" s="1120">
        <f t="shared" si="42"/>
        <v>472930</v>
      </c>
      <c r="M36" s="1120">
        <f t="shared" si="42"/>
        <v>622930</v>
      </c>
      <c r="N36" s="1120">
        <f t="shared" si="42"/>
        <v>150000</v>
      </c>
      <c r="O36" s="1120">
        <f t="shared" si="42"/>
        <v>739200</v>
      </c>
      <c r="P36" s="1120"/>
      <c r="Q36" s="1120"/>
      <c r="R36" s="1120"/>
      <c r="S36" s="1120"/>
      <c r="T36" s="1120"/>
      <c r="U36" s="1120"/>
      <c r="V36" s="1120"/>
      <c r="W36" s="1120"/>
      <c r="X36" s="4003"/>
      <c r="Y36" s="4707"/>
    </row>
    <row r="37" spans="1:27" ht="13.5" thickBot="1">
      <c r="A37" s="4704"/>
      <c r="B37" s="1126" t="s">
        <v>33</v>
      </c>
      <c r="C37" s="4710"/>
      <c r="D37" s="463">
        <f>M37+O37+P37+Q37+R37+S37+T37+U37+V37+W37</f>
        <v>1362130</v>
      </c>
      <c r="E37" s="498"/>
      <c r="F37" s="499"/>
      <c r="G37" s="498"/>
      <c r="H37" s="498"/>
      <c r="I37" s="498"/>
      <c r="J37" s="498"/>
      <c r="K37" s="498"/>
      <c r="L37" s="1127">
        <v>472930</v>
      </c>
      <c r="M37" s="463">
        <f>+E37+I37+J37+K37+L37+N37</f>
        <v>622930</v>
      </c>
      <c r="N37" s="1127">
        <f>563220-413220</f>
        <v>150000</v>
      </c>
      <c r="O37" s="1127">
        <f>325980+413220</f>
        <v>739200</v>
      </c>
      <c r="P37" s="499"/>
      <c r="Q37" s="498"/>
      <c r="R37" s="1180"/>
      <c r="S37" s="1180"/>
      <c r="T37" s="1180"/>
      <c r="U37" s="1180"/>
      <c r="V37" s="1180"/>
      <c r="W37" s="1180"/>
      <c r="X37" s="4004"/>
      <c r="Y37" s="4708"/>
    </row>
    <row r="38" spans="1:27" ht="35.25" customHeight="1">
      <c r="A38" s="4702" t="s">
        <v>80</v>
      </c>
      <c r="B38" s="1112" t="s">
        <v>432</v>
      </c>
      <c r="C38" s="1113" t="s">
        <v>98</v>
      </c>
      <c r="D38" s="1114"/>
      <c r="E38" s="1115"/>
      <c r="F38" s="1115"/>
      <c r="G38" s="1115"/>
      <c r="H38" s="1115"/>
      <c r="I38" s="1115"/>
      <c r="J38" s="1115"/>
      <c r="K38" s="1115"/>
      <c r="L38" s="1116"/>
      <c r="M38" s="1116"/>
      <c r="N38" s="1116"/>
      <c r="O38" s="1116"/>
      <c r="P38" s="1117"/>
      <c r="Q38" s="1117"/>
      <c r="R38" s="1117"/>
      <c r="S38" s="1117"/>
      <c r="T38" s="1117"/>
      <c r="U38" s="1117"/>
      <c r="V38" s="1117"/>
      <c r="W38" s="1117"/>
      <c r="X38" s="1118"/>
      <c r="Y38" s="4705" t="s">
        <v>365</v>
      </c>
    </row>
    <row r="39" spans="1:27" ht="15.75" customHeight="1">
      <c r="A39" s="4703"/>
      <c r="B39" s="506" t="s">
        <v>22</v>
      </c>
      <c r="C39" s="382"/>
      <c r="D39" s="471">
        <f t="shared" ref="D39:N39" si="43">+D40+D42</f>
        <v>98000</v>
      </c>
      <c r="E39" s="450">
        <f t="shared" si="43"/>
        <v>0</v>
      </c>
      <c r="F39" s="450">
        <f t="shared" si="43"/>
        <v>0</v>
      </c>
      <c r="G39" s="450">
        <f t="shared" si="43"/>
        <v>0</v>
      </c>
      <c r="H39" s="450">
        <f t="shared" si="43"/>
        <v>0</v>
      </c>
      <c r="I39" s="450">
        <f t="shared" si="43"/>
        <v>0</v>
      </c>
      <c r="J39" s="450">
        <f t="shared" si="43"/>
        <v>0</v>
      </c>
      <c r="K39" s="450">
        <f t="shared" si="43"/>
        <v>0</v>
      </c>
      <c r="L39" s="450">
        <f t="shared" si="43"/>
        <v>0</v>
      </c>
      <c r="M39" s="450">
        <f t="shared" ref="M39" si="44">+M40+M42</f>
        <v>78573</v>
      </c>
      <c r="N39" s="450">
        <f t="shared" si="43"/>
        <v>78573</v>
      </c>
      <c r="O39" s="450">
        <f>+O40+O42</f>
        <v>19427</v>
      </c>
      <c r="P39" s="450"/>
      <c r="Q39" s="450"/>
      <c r="R39" s="450"/>
      <c r="S39" s="450"/>
      <c r="T39" s="450"/>
      <c r="U39" s="450"/>
      <c r="V39" s="450"/>
      <c r="W39" s="450"/>
      <c r="X39" s="1725">
        <f>+X40+X42</f>
        <v>0</v>
      </c>
      <c r="Y39" s="4706"/>
      <c r="AA39" s="1260"/>
    </row>
    <row r="40" spans="1:27" ht="12.75" hidden="1">
      <c r="A40" s="4703"/>
      <c r="B40" s="507" t="s">
        <v>36</v>
      </c>
      <c r="C40" s="4129" t="s">
        <v>366</v>
      </c>
      <c r="D40" s="518">
        <f>+D41</f>
        <v>0</v>
      </c>
      <c r="E40" s="518">
        <f t="shared" ref="E40:J40" si="45">+E41</f>
        <v>0</v>
      </c>
      <c r="F40" s="518">
        <f t="shared" si="45"/>
        <v>0</v>
      </c>
      <c r="G40" s="518">
        <f t="shared" si="45"/>
        <v>0</v>
      </c>
      <c r="H40" s="518">
        <f t="shared" si="45"/>
        <v>0</v>
      </c>
      <c r="I40" s="518">
        <f t="shared" si="45"/>
        <v>0</v>
      </c>
      <c r="J40" s="518">
        <f t="shared" si="45"/>
        <v>0</v>
      </c>
      <c r="K40" s="885">
        <f>+K41</f>
        <v>0</v>
      </c>
      <c r="L40" s="884">
        <f>+L41</f>
        <v>0</v>
      </c>
      <c r="M40" s="884">
        <f>+M41</f>
        <v>0</v>
      </c>
      <c r="N40" s="884">
        <f>+N41</f>
        <v>0</v>
      </c>
      <c r="O40" s="885">
        <f>+O41</f>
        <v>0</v>
      </c>
      <c r="P40" s="1125"/>
      <c r="Q40" s="1125"/>
      <c r="R40" s="1125"/>
      <c r="S40" s="1125"/>
      <c r="T40" s="1125"/>
      <c r="U40" s="1125"/>
      <c r="V40" s="1125"/>
      <c r="W40" s="1125"/>
      <c r="X40" s="1697">
        <f>+X41</f>
        <v>0</v>
      </c>
      <c r="Y40" s="4707"/>
    </row>
    <row r="41" spans="1:27" ht="12.75" hidden="1">
      <c r="A41" s="4703"/>
      <c r="B41" s="491" t="s">
        <v>24</v>
      </c>
      <c r="C41" s="4709"/>
      <c r="D41" s="1128">
        <f>L41+N41+O41+P41+Q41</f>
        <v>0</v>
      </c>
      <c r="E41" s="463">
        <v>0</v>
      </c>
      <c r="F41" s="464"/>
      <c r="G41" s="464"/>
      <c r="H41" s="463"/>
      <c r="I41" s="463">
        <v>0</v>
      </c>
      <c r="J41" s="463"/>
      <c r="K41" s="463"/>
      <c r="L41" s="463">
        <v>0</v>
      </c>
      <c r="M41" s="463">
        <v>0</v>
      </c>
      <c r="N41" s="464">
        <v>0</v>
      </c>
      <c r="O41" s="464">
        <v>0</v>
      </c>
      <c r="P41" s="464"/>
      <c r="Q41" s="464"/>
      <c r="R41" s="464"/>
      <c r="S41" s="464"/>
      <c r="T41" s="464"/>
      <c r="U41" s="952"/>
      <c r="V41" s="952"/>
      <c r="W41" s="952"/>
      <c r="X41" s="1935">
        <f>+O41+P41+Q41+R41</f>
        <v>0</v>
      </c>
      <c r="Y41" s="4707"/>
    </row>
    <row r="42" spans="1:27" ht="12">
      <c r="A42" s="4703"/>
      <c r="B42" s="547" t="s">
        <v>30</v>
      </c>
      <c r="C42" s="4709"/>
      <c r="D42" s="1129">
        <f t="shared" ref="D42:X42" si="46">+D43</f>
        <v>98000</v>
      </c>
      <c r="E42" s="1120">
        <f t="shared" si="46"/>
        <v>0</v>
      </c>
      <c r="F42" s="1120">
        <f t="shared" si="46"/>
        <v>0</v>
      </c>
      <c r="G42" s="1120">
        <f t="shared" si="46"/>
        <v>0</v>
      </c>
      <c r="H42" s="1120">
        <f t="shared" si="46"/>
        <v>0</v>
      </c>
      <c r="I42" s="571">
        <f t="shared" si="46"/>
        <v>0</v>
      </c>
      <c r="J42" s="571">
        <f t="shared" si="46"/>
        <v>0</v>
      </c>
      <c r="K42" s="886">
        <f t="shared" si="46"/>
        <v>0</v>
      </c>
      <c r="L42" s="571">
        <f t="shared" si="46"/>
        <v>0</v>
      </c>
      <c r="M42" s="571">
        <f t="shared" si="46"/>
        <v>78573</v>
      </c>
      <c r="N42" s="571">
        <f t="shared" si="46"/>
        <v>78573</v>
      </c>
      <c r="O42" s="886">
        <f t="shared" si="46"/>
        <v>19427</v>
      </c>
      <c r="P42" s="577"/>
      <c r="Q42" s="577"/>
      <c r="R42" s="577"/>
      <c r="S42" s="577"/>
      <c r="T42" s="577"/>
      <c r="U42" s="577"/>
      <c r="V42" s="577"/>
      <c r="W42" s="577"/>
      <c r="X42" s="1697">
        <f t="shared" si="46"/>
        <v>0</v>
      </c>
      <c r="Y42" s="4707"/>
    </row>
    <row r="43" spans="1:27" ht="12.75">
      <c r="A43" s="4703"/>
      <c r="B43" s="1125" t="s">
        <v>33</v>
      </c>
      <c r="C43" s="4709"/>
      <c r="D43" s="463">
        <f>M43+O43+P43+Q43+R43+S43+T43+U43+V43+W43</f>
        <v>98000</v>
      </c>
      <c r="E43" s="461"/>
      <c r="F43" s="469"/>
      <c r="G43" s="469"/>
      <c r="H43" s="461"/>
      <c r="I43" s="461"/>
      <c r="J43" s="461"/>
      <c r="K43" s="461"/>
      <c r="L43" s="461">
        <v>0</v>
      </c>
      <c r="M43" s="463">
        <f>+E43+I43+J43+K43+L43+N43</f>
        <v>78573</v>
      </c>
      <c r="N43" s="469">
        <f>98000-19427</f>
        <v>78573</v>
      </c>
      <c r="O43" s="469">
        <v>19427</v>
      </c>
      <c r="P43" s="469"/>
      <c r="Q43" s="469"/>
      <c r="R43" s="469"/>
      <c r="S43" s="469"/>
      <c r="T43" s="469"/>
      <c r="U43" s="469"/>
      <c r="V43" s="469"/>
      <c r="W43" s="469"/>
      <c r="X43" s="1704">
        <f>SUM(P43:T43)</f>
        <v>0</v>
      </c>
      <c r="Y43" s="4707"/>
    </row>
    <row r="44" spans="1:27" ht="15.75" customHeight="1">
      <c r="A44" s="4703"/>
      <c r="B44" s="512" t="s">
        <v>34</v>
      </c>
      <c r="C44" s="382"/>
      <c r="D44" s="546">
        <f>+D45</f>
        <v>98000</v>
      </c>
      <c r="E44" s="471">
        <f t="shared" ref="E44:M45" si="47">+E45</f>
        <v>0</v>
      </c>
      <c r="F44" s="471">
        <f t="shared" si="47"/>
        <v>0</v>
      </c>
      <c r="G44" s="471">
        <f t="shared" si="47"/>
        <v>0</v>
      </c>
      <c r="H44" s="471">
        <f t="shared" si="47"/>
        <v>0</v>
      </c>
      <c r="I44" s="471">
        <f t="shared" si="47"/>
        <v>0</v>
      </c>
      <c r="J44" s="471">
        <f t="shared" si="47"/>
        <v>0</v>
      </c>
      <c r="K44" s="471">
        <f t="shared" si="47"/>
        <v>0</v>
      </c>
      <c r="L44" s="471">
        <f t="shared" si="47"/>
        <v>98000</v>
      </c>
      <c r="M44" s="471">
        <f t="shared" si="47"/>
        <v>98000</v>
      </c>
      <c r="N44" s="471"/>
      <c r="O44" s="471"/>
      <c r="P44" s="471"/>
      <c r="Q44" s="471"/>
      <c r="R44" s="450"/>
      <c r="S44" s="450"/>
      <c r="T44" s="450"/>
      <c r="U44" s="450"/>
      <c r="V44" s="450"/>
      <c r="W44" s="450"/>
      <c r="X44" s="4642" t="s">
        <v>77</v>
      </c>
      <c r="Y44" s="4707"/>
    </row>
    <row r="45" spans="1:27" ht="12">
      <c r="A45" s="4703"/>
      <c r="B45" s="547" t="s">
        <v>30</v>
      </c>
      <c r="C45" s="4174" t="s">
        <v>367</v>
      </c>
      <c r="D45" s="1124">
        <f>+D46</f>
        <v>98000</v>
      </c>
      <c r="E45" s="1120">
        <f t="shared" si="47"/>
        <v>0</v>
      </c>
      <c r="F45" s="1120">
        <f t="shared" si="47"/>
        <v>0</v>
      </c>
      <c r="G45" s="1120">
        <f t="shared" si="47"/>
        <v>0</v>
      </c>
      <c r="H45" s="1120">
        <f t="shared" si="47"/>
        <v>0</v>
      </c>
      <c r="I45" s="1120">
        <f t="shared" si="47"/>
        <v>0</v>
      </c>
      <c r="J45" s="1120">
        <f t="shared" si="47"/>
        <v>0</v>
      </c>
      <c r="K45" s="1120">
        <f t="shared" si="47"/>
        <v>0</v>
      </c>
      <c r="L45" s="1120">
        <f t="shared" si="47"/>
        <v>98000</v>
      </c>
      <c r="M45" s="1120">
        <f t="shared" si="47"/>
        <v>98000</v>
      </c>
      <c r="N45" s="1120"/>
      <c r="O45" s="1120"/>
      <c r="P45" s="1120"/>
      <c r="Q45" s="1120"/>
      <c r="R45" s="1120"/>
      <c r="S45" s="1120"/>
      <c r="T45" s="1120"/>
      <c r="U45" s="1120"/>
      <c r="V45" s="1120"/>
      <c r="W45" s="1120"/>
      <c r="X45" s="4003"/>
      <c r="Y45" s="4707"/>
    </row>
    <row r="46" spans="1:27" ht="13.5" thickBot="1">
      <c r="A46" s="4704"/>
      <c r="B46" s="1126" t="s">
        <v>33</v>
      </c>
      <c r="C46" s="4710"/>
      <c r="D46" s="498">
        <f>M46+O46+P46+Q46+R46+S46+T46+U46+V46+W46</f>
        <v>98000</v>
      </c>
      <c r="E46" s="498"/>
      <c r="F46" s="499"/>
      <c r="G46" s="498"/>
      <c r="H46" s="498"/>
      <c r="I46" s="498"/>
      <c r="J46" s="498"/>
      <c r="K46" s="498"/>
      <c r="L46" s="1127">
        <v>98000</v>
      </c>
      <c r="M46" s="498">
        <f>+E46+I46+J46+K46+L46+N46</f>
        <v>98000</v>
      </c>
      <c r="N46" s="1127"/>
      <c r="O46" s="1127"/>
      <c r="P46" s="1127"/>
      <c r="Q46" s="1127"/>
      <c r="R46" s="1127"/>
      <c r="S46" s="1127"/>
      <c r="T46" s="1127"/>
      <c r="U46" s="1127"/>
      <c r="V46" s="1127"/>
      <c r="W46" s="1127"/>
      <c r="X46" s="4004"/>
      <c r="Y46" s="4708"/>
    </row>
    <row r="47" spans="1:27" ht="28.5" customHeight="1" thickBot="1">
      <c r="A47" s="1872" t="s">
        <v>544</v>
      </c>
      <c r="B47" s="1873"/>
      <c r="C47" s="1873"/>
      <c r="D47" s="1873"/>
      <c r="E47" s="1874"/>
      <c r="F47" s="1875"/>
      <c r="G47" s="1875"/>
      <c r="H47" s="1875"/>
      <c r="I47" s="1876"/>
      <c r="J47" s="1876"/>
      <c r="K47" s="1876"/>
      <c r="L47" s="1876"/>
      <c r="M47" s="1873"/>
      <c r="N47" s="1873"/>
      <c r="O47" s="1873"/>
      <c r="P47" s="1873"/>
      <c r="Q47" s="1873"/>
      <c r="R47" s="1873"/>
      <c r="S47" s="1873"/>
      <c r="T47" s="1873"/>
      <c r="U47" s="1873"/>
      <c r="V47" s="1873"/>
      <c r="W47" s="1873"/>
      <c r="X47" s="1877"/>
      <c r="Y47" s="1878"/>
    </row>
    <row r="48" spans="1:27" ht="13.5" customHeight="1">
      <c r="A48" s="1879"/>
      <c r="B48" s="1880" t="s">
        <v>92</v>
      </c>
      <c r="C48" s="1881"/>
      <c r="D48" s="1882">
        <f>+D49+D50</f>
        <v>107083</v>
      </c>
      <c r="E48" s="1882" t="e">
        <f t="shared" ref="E48:Q48" si="48">+E49+E50</f>
        <v>#REF!</v>
      </c>
      <c r="F48" s="1883" t="e">
        <f t="shared" si="48"/>
        <v>#REF!</v>
      </c>
      <c r="G48" s="1883" t="e">
        <f t="shared" si="48"/>
        <v>#REF!</v>
      </c>
      <c r="H48" s="1883" t="e">
        <f t="shared" si="48"/>
        <v>#REF!</v>
      </c>
      <c r="I48" s="1884" t="e">
        <f t="shared" si="48"/>
        <v>#REF!</v>
      </c>
      <c r="J48" s="1884" t="e">
        <f t="shared" si="48"/>
        <v>#REF!</v>
      </c>
      <c r="K48" s="1884" t="e">
        <f t="shared" si="48"/>
        <v>#REF!</v>
      </c>
      <c r="L48" s="1884" t="e">
        <f t="shared" si="48"/>
        <v>#REF!</v>
      </c>
      <c r="M48" s="1882">
        <f t="shared" si="48"/>
        <v>0</v>
      </c>
      <c r="N48" s="1882" t="e">
        <f t="shared" si="48"/>
        <v>#REF!</v>
      </c>
      <c r="O48" s="1882">
        <f t="shared" si="48"/>
        <v>0</v>
      </c>
      <c r="P48" s="1882">
        <f t="shared" si="48"/>
        <v>27805</v>
      </c>
      <c r="Q48" s="1882">
        <f t="shared" si="48"/>
        <v>26855</v>
      </c>
      <c r="R48" s="1882">
        <f>+R49+R50</f>
        <v>26856</v>
      </c>
      <c r="S48" s="1882">
        <f>+S49+S50</f>
        <v>25567</v>
      </c>
      <c r="T48" s="1882">
        <f t="shared" ref="T48:W48" si="49">+T49+T50</f>
        <v>0</v>
      </c>
      <c r="U48" s="1882">
        <f t="shared" si="49"/>
        <v>0</v>
      </c>
      <c r="V48" s="1882">
        <f t="shared" si="49"/>
        <v>0</v>
      </c>
      <c r="W48" s="1882">
        <f t="shared" si="49"/>
        <v>0</v>
      </c>
      <c r="X48" s="1885">
        <f>+X49+X50</f>
        <v>107083</v>
      </c>
      <c r="Y48" s="4718" t="s">
        <v>77</v>
      </c>
    </row>
    <row r="49" spans="1:25" ht="16.5" customHeight="1" thickBot="1">
      <c r="A49" s="1879"/>
      <c r="B49" s="1886" t="s">
        <v>93</v>
      </c>
      <c r="C49" s="1887"/>
      <c r="D49" s="1888">
        <f>+D59</f>
        <v>107083</v>
      </c>
      <c r="E49" s="1888" t="e">
        <f>+#REF!+E66</f>
        <v>#REF!</v>
      </c>
      <c r="F49" s="1889" t="e">
        <f>+#REF!+F66</f>
        <v>#REF!</v>
      </c>
      <c r="G49" s="1889" t="e">
        <f>+#REF!+G66</f>
        <v>#REF!</v>
      </c>
      <c r="H49" s="1889" t="e">
        <f>+#REF!+H66</f>
        <v>#REF!</v>
      </c>
      <c r="I49" s="1890" t="e">
        <f>+#REF!+I66</f>
        <v>#REF!</v>
      </c>
      <c r="J49" s="1890" t="e">
        <f>+#REF!+J66</f>
        <v>#REF!</v>
      </c>
      <c r="K49" s="1890" t="e">
        <f>+#REF!+K66</f>
        <v>#REF!</v>
      </c>
      <c r="L49" s="1890" t="e">
        <f>+#REF!+L66</f>
        <v>#REF!</v>
      </c>
      <c r="M49" s="1888">
        <f>+M59</f>
        <v>0</v>
      </c>
      <c r="N49" s="1888" t="e">
        <f>+#REF!+N66</f>
        <v>#REF!</v>
      </c>
      <c r="O49" s="1888">
        <f t="shared" ref="O49:W49" si="50">+O59</f>
        <v>0</v>
      </c>
      <c r="P49" s="1888">
        <f t="shared" si="50"/>
        <v>27805</v>
      </c>
      <c r="Q49" s="1888">
        <f t="shared" si="50"/>
        <v>26855</v>
      </c>
      <c r="R49" s="1888">
        <f t="shared" si="50"/>
        <v>26856</v>
      </c>
      <c r="S49" s="1888">
        <f t="shared" si="50"/>
        <v>25567</v>
      </c>
      <c r="T49" s="1888">
        <f t="shared" si="50"/>
        <v>0</v>
      </c>
      <c r="U49" s="1888">
        <f t="shared" si="50"/>
        <v>0</v>
      </c>
      <c r="V49" s="1888">
        <f t="shared" si="50"/>
        <v>0</v>
      </c>
      <c r="W49" s="1888">
        <f t="shared" si="50"/>
        <v>0</v>
      </c>
      <c r="X49" s="1932">
        <f>SUM(P49:T49)</f>
        <v>107083</v>
      </c>
      <c r="Y49" s="4719"/>
    </row>
    <row r="50" spans="1:25" ht="12.75" hidden="1" thickBot="1">
      <c r="A50" s="1879"/>
      <c r="B50" s="1891" t="s">
        <v>21</v>
      </c>
      <c r="C50" s="1887"/>
      <c r="D50" s="1888"/>
      <c r="E50" s="1888">
        <f>+E59</f>
        <v>0</v>
      </c>
      <c r="F50" s="1889">
        <f>F59</f>
        <v>0</v>
      </c>
      <c r="G50" s="1889">
        <f>G59</f>
        <v>0</v>
      </c>
      <c r="H50" s="1889">
        <f>H59</f>
        <v>0</v>
      </c>
      <c r="I50" s="1890">
        <f>+I59</f>
        <v>0</v>
      </c>
      <c r="J50" s="1890">
        <f>+J59</f>
        <v>0</v>
      </c>
      <c r="K50" s="1890">
        <f t="shared" ref="K50:N50" si="51">+K59</f>
        <v>0</v>
      </c>
      <c r="L50" s="1890">
        <f t="shared" si="51"/>
        <v>0</v>
      </c>
      <c r="M50" s="1888"/>
      <c r="N50" s="1888">
        <f t="shared" si="51"/>
        <v>0</v>
      </c>
      <c r="O50" s="1888"/>
      <c r="P50" s="1888"/>
      <c r="Q50" s="1888"/>
      <c r="R50" s="1892"/>
      <c r="S50" s="1892"/>
      <c r="T50" s="1892"/>
      <c r="U50" s="1892"/>
      <c r="V50" s="1892"/>
      <c r="W50" s="1892"/>
      <c r="X50" s="1893">
        <f>SUM(P50:T50)</f>
        <v>0</v>
      </c>
      <c r="Y50" s="4719"/>
    </row>
    <row r="51" spans="1:25" ht="15" customHeight="1">
      <c r="A51" s="1894"/>
      <c r="B51" s="1895" t="s">
        <v>22</v>
      </c>
      <c r="C51" s="1896"/>
      <c r="D51" s="1897">
        <f>+D52</f>
        <v>107083</v>
      </c>
      <c r="E51" s="1897">
        <f t="shared" ref="E51:W52" si="52">+E52</f>
        <v>0</v>
      </c>
      <c r="F51" s="1898">
        <f t="shared" si="52"/>
        <v>0</v>
      </c>
      <c r="G51" s="1898">
        <f t="shared" si="52"/>
        <v>0</v>
      </c>
      <c r="H51" s="1898">
        <f t="shared" si="52"/>
        <v>0</v>
      </c>
      <c r="I51" s="1899">
        <f t="shared" si="52"/>
        <v>0</v>
      </c>
      <c r="J51" s="1899">
        <f t="shared" si="52"/>
        <v>0</v>
      </c>
      <c r="K51" s="1899">
        <f t="shared" si="52"/>
        <v>0</v>
      </c>
      <c r="L51" s="1899">
        <f t="shared" si="52"/>
        <v>0</v>
      </c>
      <c r="M51" s="1897">
        <f t="shared" si="52"/>
        <v>0</v>
      </c>
      <c r="N51" s="1897">
        <f t="shared" si="52"/>
        <v>0</v>
      </c>
      <c r="O51" s="1897">
        <f t="shared" si="52"/>
        <v>0</v>
      </c>
      <c r="P51" s="1897">
        <f t="shared" si="52"/>
        <v>27805</v>
      </c>
      <c r="Q51" s="1897">
        <f t="shared" si="52"/>
        <v>26855</v>
      </c>
      <c r="R51" s="1897">
        <f t="shared" si="52"/>
        <v>26856</v>
      </c>
      <c r="S51" s="1897">
        <f t="shared" si="52"/>
        <v>25567</v>
      </c>
      <c r="T51" s="1897">
        <f t="shared" si="52"/>
        <v>0</v>
      </c>
      <c r="U51" s="1897">
        <f t="shared" si="52"/>
        <v>0</v>
      </c>
      <c r="V51" s="1897">
        <f t="shared" si="52"/>
        <v>0</v>
      </c>
      <c r="W51" s="1897">
        <f t="shared" si="52"/>
        <v>0</v>
      </c>
      <c r="X51" s="1900">
        <f>+X52</f>
        <v>107083</v>
      </c>
      <c r="Y51" s="4719"/>
    </row>
    <row r="52" spans="1:25" ht="15" customHeight="1">
      <c r="A52" s="1901"/>
      <c r="B52" s="1902" t="s">
        <v>23</v>
      </c>
      <c r="C52" s="4721" t="s">
        <v>77</v>
      </c>
      <c r="D52" s="1903">
        <f>+D53+D54</f>
        <v>107083</v>
      </c>
      <c r="E52" s="1903">
        <f t="shared" si="52"/>
        <v>0</v>
      </c>
      <c r="F52" s="1904">
        <f t="shared" si="52"/>
        <v>0</v>
      </c>
      <c r="G52" s="1904">
        <f t="shared" si="52"/>
        <v>0</v>
      </c>
      <c r="H52" s="1904">
        <f t="shared" si="52"/>
        <v>0</v>
      </c>
      <c r="I52" s="1905">
        <f t="shared" si="52"/>
        <v>0</v>
      </c>
      <c r="J52" s="1905">
        <f t="shared" si="52"/>
        <v>0</v>
      </c>
      <c r="K52" s="1905">
        <f t="shared" si="52"/>
        <v>0</v>
      </c>
      <c r="L52" s="1905">
        <f t="shared" si="52"/>
        <v>0</v>
      </c>
      <c r="M52" s="1903">
        <f t="shared" si="52"/>
        <v>0</v>
      </c>
      <c r="N52" s="1903">
        <f>+N53+N54</f>
        <v>0</v>
      </c>
      <c r="O52" s="1903">
        <f>+O53+O54</f>
        <v>0</v>
      </c>
      <c r="P52" s="1903">
        <f t="shared" si="52"/>
        <v>27805</v>
      </c>
      <c r="Q52" s="1903">
        <f t="shared" si="52"/>
        <v>26855</v>
      </c>
      <c r="R52" s="1903">
        <f t="shared" si="52"/>
        <v>26856</v>
      </c>
      <c r="S52" s="1903">
        <f t="shared" si="52"/>
        <v>25567</v>
      </c>
      <c r="T52" s="1903">
        <f t="shared" si="52"/>
        <v>0</v>
      </c>
      <c r="U52" s="1903">
        <f t="shared" si="52"/>
        <v>0</v>
      </c>
      <c r="V52" s="1903">
        <f t="shared" si="52"/>
        <v>0</v>
      </c>
      <c r="W52" s="1903">
        <f t="shared" si="52"/>
        <v>0</v>
      </c>
      <c r="X52" s="1906">
        <f>+X53+X54</f>
        <v>107083</v>
      </c>
      <c r="Y52" s="4719"/>
    </row>
    <row r="53" spans="1:25" ht="15" customHeight="1" thickBot="1">
      <c r="A53" s="1907"/>
      <c r="B53" s="1908" t="s">
        <v>24</v>
      </c>
      <c r="C53" s="4722"/>
      <c r="D53" s="1909">
        <f>+D61+D64+D68</f>
        <v>107083</v>
      </c>
      <c r="E53" s="1909">
        <f t="shared" ref="E53:L53" si="53">+E61+E64</f>
        <v>0</v>
      </c>
      <c r="F53" s="1910">
        <f t="shared" si="53"/>
        <v>0</v>
      </c>
      <c r="G53" s="1910">
        <f t="shared" si="53"/>
        <v>0</v>
      </c>
      <c r="H53" s="1910">
        <f t="shared" si="53"/>
        <v>0</v>
      </c>
      <c r="I53" s="1911">
        <f t="shared" si="53"/>
        <v>0</v>
      </c>
      <c r="J53" s="1911">
        <f t="shared" si="53"/>
        <v>0</v>
      </c>
      <c r="K53" s="1911">
        <f t="shared" si="53"/>
        <v>0</v>
      </c>
      <c r="L53" s="1911">
        <f t="shared" si="53"/>
        <v>0</v>
      </c>
      <c r="M53" s="1909">
        <f>+M61+M64+M68</f>
        <v>0</v>
      </c>
      <c r="N53" s="1909">
        <f>+N61+N64+N68</f>
        <v>0</v>
      </c>
      <c r="O53" s="1909">
        <f>+O61+O64+O68</f>
        <v>0</v>
      </c>
      <c r="P53" s="1909">
        <f>+P61+P64+P68</f>
        <v>27805</v>
      </c>
      <c r="Q53" s="1909">
        <f t="shared" ref="Q53:W53" si="54">+Q61+Q64</f>
        <v>26855</v>
      </c>
      <c r="R53" s="1909">
        <f t="shared" si="54"/>
        <v>26856</v>
      </c>
      <c r="S53" s="1909">
        <f t="shared" si="54"/>
        <v>25567</v>
      </c>
      <c r="T53" s="1909">
        <f t="shared" si="54"/>
        <v>0</v>
      </c>
      <c r="U53" s="1909">
        <f t="shared" si="54"/>
        <v>0</v>
      </c>
      <c r="V53" s="1909">
        <f t="shared" si="54"/>
        <v>0</v>
      </c>
      <c r="W53" s="1909">
        <f t="shared" si="54"/>
        <v>0</v>
      </c>
      <c r="X53" s="1912">
        <f>SUM(P53:W53)</f>
        <v>107083</v>
      </c>
      <c r="Y53" s="4719"/>
    </row>
    <row r="54" spans="1:25" ht="12.75" hidden="1" thickBot="1">
      <c r="A54" s="1907"/>
      <c r="B54" s="1908" t="s">
        <v>26</v>
      </c>
      <c r="C54" s="4723"/>
      <c r="D54" s="1909">
        <f>+D69</f>
        <v>0</v>
      </c>
      <c r="E54" s="1909">
        <f>+E69</f>
        <v>0</v>
      </c>
      <c r="F54" s="1910">
        <f t="shared" ref="F54:T54" si="55">+F69</f>
        <v>0</v>
      </c>
      <c r="G54" s="1910">
        <f t="shared" si="55"/>
        <v>0</v>
      </c>
      <c r="H54" s="1910">
        <f t="shared" si="55"/>
        <v>0</v>
      </c>
      <c r="I54" s="1911">
        <f t="shared" si="55"/>
        <v>0</v>
      </c>
      <c r="J54" s="1911">
        <f t="shared" si="55"/>
        <v>0</v>
      </c>
      <c r="K54" s="1911">
        <f t="shared" si="55"/>
        <v>0</v>
      </c>
      <c r="L54" s="1911">
        <f t="shared" si="55"/>
        <v>0</v>
      </c>
      <c r="M54" s="1909">
        <f t="shared" si="55"/>
        <v>0</v>
      </c>
      <c r="N54" s="1909">
        <f t="shared" si="55"/>
        <v>0</v>
      </c>
      <c r="O54" s="1909">
        <f t="shared" si="55"/>
        <v>0</v>
      </c>
      <c r="P54" s="1909">
        <f t="shared" si="55"/>
        <v>0</v>
      </c>
      <c r="Q54" s="1909">
        <f t="shared" si="55"/>
        <v>0</v>
      </c>
      <c r="R54" s="1909">
        <f t="shared" si="55"/>
        <v>0</v>
      </c>
      <c r="S54" s="1909">
        <f t="shared" si="55"/>
        <v>0</v>
      </c>
      <c r="T54" s="1909">
        <f t="shared" si="55"/>
        <v>0</v>
      </c>
      <c r="U54" s="1909"/>
      <c r="V54" s="1909"/>
      <c r="W54" s="1909"/>
      <c r="X54" s="1912">
        <f>SUM(P54:W54)</f>
        <v>0</v>
      </c>
      <c r="Y54" s="4719"/>
    </row>
    <row r="55" spans="1:25" ht="12" hidden="1" customHeight="1">
      <c r="A55" s="1913"/>
      <c r="B55" s="1868" t="s">
        <v>34</v>
      </c>
      <c r="C55" s="1914"/>
      <c r="D55" s="1915">
        <f>+D56</f>
        <v>0</v>
      </c>
      <c r="E55" s="1915">
        <f t="shared" ref="E55:M56" si="56">+E56</f>
        <v>0</v>
      </c>
      <c r="F55" s="1916">
        <f t="shared" si="56"/>
        <v>0</v>
      </c>
      <c r="G55" s="1916">
        <f t="shared" si="56"/>
        <v>0</v>
      </c>
      <c r="H55" s="1916">
        <f t="shared" si="56"/>
        <v>0</v>
      </c>
      <c r="I55" s="1917">
        <f t="shared" si="56"/>
        <v>0</v>
      </c>
      <c r="J55" s="1917">
        <f t="shared" si="56"/>
        <v>0</v>
      </c>
      <c r="K55" s="1917">
        <f t="shared" si="56"/>
        <v>0</v>
      </c>
      <c r="L55" s="1917">
        <f t="shared" si="56"/>
        <v>0</v>
      </c>
      <c r="M55" s="1915">
        <f t="shared" si="56"/>
        <v>0</v>
      </c>
      <c r="N55" s="1915">
        <f>+N56</f>
        <v>0</v>
      </c>
      <c r="O55" s="1915">
        <f>+O56</f>
        <v>0</v>
      </c>
      <c r="P55" s="1915">
        <f t="shared" ref="P55:T56" si="57">+P56</f>
        <v>0</v>
      </c>
      <c r="Q55" s="1915">
        <f t="shared" si="57"/>
        <v>0</v>
      </c>
      <c r="R55" s="1915">
        <f t="shared" si="57"/>
        <v>0</v>
      </c>
      <c r="S55" s="1915">
        <f t="shared" si="57"/>
        <v>0</v>
      </c>
      <c r="T55" s="1915">
        <f t="shared" si="57"/>
        <v>0</v>
      </c>
      <c r="U55" s="1915"/>
      <c r="V55" s="1915"/>
      <c r="W55" s="1915"/>
      <c r="X55" s="4368" t="s">
        <v>77</v>
      </c>
      <c r="Y55" s="4719"/>
    </row>
    <row r="56" spans="1:25" ht="12" hidden="1" customHeight="1">
      <c r="A56" s="1913"/>
      <c r="B56" s="1902" t="s">
        <v>23</v>
      </c>
      <c r="C56" s="4721" t="s">
        <v>77</v>
      </c>
      <c r="D56" s="1903">
        <f>+D57</f>
        <v>0</v>
      </c>
      <c r="E56" s="1903">
        <f t="shared" si="56"/>
        <v>0</v>
      </c>
      <c r="F56" s="1904">
        <f t="shared" si="56"/>
        <v>0</v>
      </c>
      <c r="G56" s="1904">
        <f t="shared" si="56"/>
        <v>0</v>
      </c>
      <c r="H56" s="1904">
        <f t="shared" si="56"/>
        <v>0</v>
      </c>
      <c r="I56" s="1905">
        <f t="shared" si="56"/>
        <v>0</v>
      </c>
      <c r="J56" s="1905">
        <f t="shared" si="56"/>
        <v>0</v>
      </c>
      <c r="K56" s="1905">
        <f>+K57</f>
        <v>0</v>
      </c>
      <c r="L56" s="1905">
        <f t="shared" si="56"/>
        <v>0</v>
      </c>
      <c r="M56" s="1903">
        <f t="shared" si="56"/>
        <v>0</v>
      </c>
      <c r="N56" s="1903">
        <f>+N57</f>
        <v>0</v>
      </c>
      <c r="O56" s="1903">
        <f t="shared" ref="O56" si="58">+O57</f>
        <v>0</v>
      </c>
      <c r="P56" s="1903">
        <f t="shared" si="57"/>
        <v>0</v>
      </c>
      <c r="Q56" s="1903">
        <f t="shared" si="57"/>
        <v>0</v>
      </c>
      <c r="R56" s="1903">
        <f t="shared" si="57"/>
        <v>0</v>
      </c>
      <c r="S56" s="1903">
        <f t="shared" si="57"/>
        <v>0</v>
      </c>
      <c r="T56" s="1903">
        <f t="shared" si="57"/>
        <v>0</v>
      </c>
      <c r="U56" s="1903"/>
      <c r="V56" s="1903"/>
      <c r="W56" s="1903"/>
      <c r="X56" s="4369"/>
      <c r="Y56" s="4719"/>
    </row>
    <row r="57" spans="1:25" ht="12.75" hidden="1" customHeight="1" thickBot="1">
      <c r="A57" s="1907"/>
      <c r="B57" s="1908" t="s">
        <v>26</v>
      </c>
      <c r="C57" s="4722"/>
      <c r="D57" s="1909">
        <f>+D72</f>
        <v>0</v>
      </c>
      <c r="E57" s="1909">
        <f>+E72</f>
        <v>0</v>
      </c>
      <c r="F57" s="1910">
        <f t="shared" ref="F57:T57" si="59">+F72</f>
        <v>0</v>
      </c>
      <c r="G57" s="1910">
        <f t="shared" si="59"/>
        <v>0</v>
      </c>
      <c r="H57" s="1910">
        <f t="shared" si="59"/>
        <v>0</v>
      </c>
      <c r="I57" s="1911">
        <f t="shared" si="59"/>
        <v>0</v>
      </c>
      <c r="J57" s="1911">
        <f t="shared" si="59"/>
        <v>0</v>
      </c>
      <c r="K57" s="1911">
        <f t="shared" si="59"/>
        <v>0</v>
      </c>
      <c r="L57" s="1911">
        <f t="shared" si="59"/>
        <v>0</v>
      </c>
      <c r="M57" s="1909">
        <f t="shared" si="59"/>
        <v>0</v>
      </c>
      <c r="N57" s="1909">
        <f t="shared" si="59"/>
        <v>0</v>
      </c>
      <c r="O57" s="1909">
        <f t="shared" si="59"/>
        <v>0</v>
      </c>
      <c r="P57" s="1909">
        <f>+P72</f>
        <v>0</v>
      </c>
      <c r="Q57" s="1909">
        <f t="shared" si="59"/>
        <v>0</v>
      </c>
      <c r="R57" s="1909">
        <f t="shared" si="59"/>
        <v>0</v>
      </c>
      <c r="S57" s="1909">
        <f t="shared" si="59"/>
        <v>0</v>
      </c>
      <c r="T57" s="1909">
        <f t="shared" si="59"/>
        <v>0</v>
      </c>
      <c r="U57" s="1918"/>
      <c r="V57" s="1918"/>
      <c r="W57" s="1918"/>
      <c r="X57" s="4370"/>
      <c r="Y57" s="4720"/>
    </row>
    <row r="58" spans="1:25" ht="21" customHeight="1">
      <c r="A58" s="4064" t="s">
        <v>79</v>
      </c>
      <c r="B58" s="1861" t="s">
        <v>606</v>
      </c>
      <c r="C58" s="1113" t="s">
        <v>131</v>
      </c>
      <c r="D58" s="1862"/>
      <c r="E58" s="1863"/>
      <c r="F58" s="1864"/>
      <c r="G58" s="1864"/>
      <c r="H58" s="1864"/>
      <c r="I58" s="1865"/>
      <c r="J58" s="1865"/>
      <c r="K58" s="1865"/>
      <c r="L58" s="1865"/>
      <c r="M58" s="1866"/>
      <c r="N58" s="1866"/>
      <c r="O58" s="1866"/>
      <c r="P58" s="1866"/>
      <c r="Q58" s="1866"/>
      <c r="R58" s="1866"/>
      <c r="S58" s="1866"/>
      <c r="T58" s="1866"/>
      <c r="U58" s="1866"/>
      <c r="V58" s="1866"/>
      <c r="W58" s="1866"/>
      <c r="X58" s="1867"/>
      <c r="Y58" s="4714" t="s">
        <v>619</v>
      </c>
    </row>
    <row r="59" spans="1:25" ht="18" customHeight="1">
      <c r="A59" s="4371"/>
      <c r="B59" s="1868" t="s">
        <v>22</v>
      </c>
      <c r="C59" s="1846"/>
      <c r="D59" s="1827">
        <f>+D60</f>
        <v>107083</v>
      </c>
      <c r="E59" s="1827">
        <f t="shared" ref="E59:X60" si="60">+E60</f>
        <v>0</v>
      </c>
      <c r="F59" s="1919">
        <f t="shared" si="60"/>
        <v>0</v>
      </c>
      <c r="G59" s="1919">
        <f t="shared" si="60"/>
        <v>0</v>
      </c>
      <c r="H59" s="1919">
        <f t="shared" si="60"/>
        <v>0</v>
      </c>
      <c r="I59" s="1920">
        <f t="shared" si="60"/>
        <v>0</v>
      </c>
      <c r="J59" s="1920">
        <f t="shared" si="60"/>
        <v>0</v>
      </c>
      <c r="K59" s="1920">
        <f t="shared" si="60"/>
        <v>0</v>
      </c>
      <c r="L59" s="1920">
        <f t="shared" si="60"/>
        <v>0</v>
      </c>
      <c r="M59" s="1827">
        <f t="shared" si="60"/>
        <v>0</v>
      </c>
      <c r="N59" s="1827">
        <f t="shared" si="60"/>
        <v>0</v>
      </c>
      <c r="O59" s="1827">
        <f t="shared" si="60"/>
        <v>0</v>
      </c>
      <c r="P59" s="1827">
        <f t="shared" si="60"/>
        <v>27805</v>
      </c>
      <c r="Q59" s="1827">
        <f t="shared" si="60"/>
        <v>26855</v>
      </c>
      <c r="R59" s="1827">
        <f t="shared" si="60"/>
        <v>26856</v>
      </c>
      <c r="S59" s="1827">
        <f t="shared" si="60"/>
        <v>25567</v>
      </c>
      <c r="T59" s="1921">
        <v>0</v>
      </c>
      <c r="U59" s="1921">
        <v>0</v>
      </c>
      <c r="V59" s="1921">
        <v>0</v>
      </c>
      <c r="W59" s="1921">
        <v>0</v>
      </c>
      <c r="X59" s="1922">
        <f t="shared" si="60"/>
        <v>107083</v>
      </c>
      <c r="Y59" s="4715"/>
    </row>
    <row r="60" spans="1:25" ht="17.25" customHeight="1">
      <c r="A60" s="4371"/>
      <c r="B60" s="1823" t="s">
        <v>36</v>
      </c>
      <c r="C60" s="4717" t="s">
        <v>545</v>
      </c>
      <c r="D60" s="1923">
        <f>+D61</f>
        <v>107083</v>
      </c>
      <c r="E60" s="1923">
        <f t="shared" si="60"/>
        <v>0</v>
      </c>
      <c r="F60" s="1924">
        <f t="shared" si="60"/>
        <v>0</v>
      </c>
      <c r="G60" s="1924">
        <f t="shared" si="60"/>
        <v>0</v>
      </c>
      <c r="H60" s="1924">
        <f t="shared" si="60"/>
        <v>0</v>
      </c>
      <c r="I60" s="1925">
        <f t="shared" si="60"/>
        <v>0</v>
      </c>
      <c r="J60" s="1925">
        <f t="shared" si="60"/>
        <v>0</v>
      </c>
      <c r="K60" s="1925">
        <f t="shared" si="60"/>
        <v>0</v>
      </c>
      <c r="L60" s="1925">
        <f t="shared" si="60"/>
        <v>0</v>
      </c>
      <c r="M60" s="1923">
        <f t="shared" si="60"/>
        <v>0</v>
      </c>
      <c r="N60" s="1923">
        <f t="shared" si="60"/>
        <v>0</v>
      </c>
      <c r="O60" s="1923">
        <f t="shared" si="60"/>
        <v>0</v>
      </c>
      <c r="P60" s="1923">
        <f t="shared" si="60"/>
        <v>27805</v>
      </c>
      <c r="Q60" s="1923">
        <f t="shared" si="60"/>
        <v>26855</v>
      </c>
      <c r="R60" s="1923">
        <f t="shared" si="60"/>
        <v>26856</v>
      </c>
      <c r="S60" s="1923">
        <f t="shared" si="60"/>
        <v>25567</v>
      </c>
      <c r="T60" s="1926">
        <v>0</v>
      </c>
      <c r="U60" s="1926">
        <v>0</v>
      </c>
      <c r="V60" s="1926">
        <v>0</v>
      </c>
      <c r="W60" s="1926">
        <v>0</v>
      </c>
      <c r="X60" s="1927">
        <f t="shared" si="60"/>
        <v>107083</v>
      </c>
      <c r="Y60" s="4715"/>
    </row>
    <row r="61" spans="1:25" ht="18.75" customHeight="1" thickBot="1">
      <c r="A61" s="4430"/>
      <c r="B61" s="1871" t="s">
        <v>24</v>
      </c>
      <c r="C61" s="4367"/>
      <c r="D61" s="1869">
        <f>M61+O61+P61+Q61+R61+S61+T61+U61+V61+W61</f>
        <v>107083</v>
      </c>
      <c r="E61" s="1928">
        <v>0</v>
      </c>
      <c r="F61" s="1929">
        <v>0</v>
      </c>
      <c r="G61" s="1929">
        <v>0</v>
      </c>
      <c r="H61" s="1929">
        <v>0</v>
      </c>
      <c r="I61" s="1930">
        <v>0</v>
      </c>
      <c r="J61" s="1930">
        <v>0</v>
      </c>
      <c r="K61" s="1930">
        <v>0</v>
      </c>
      <c r="L61" s="1930">
        <v>0</v>
      </c>
      <c r="M61" s="1869">
        <f>+E61+I61+J61+K61+L61+N61</f>
        <v>0</v>
      </c>
      <c r="N61" s="1928">
        <v>0</v>
      </c>
      <c r="O61" s="1928">
        <f>2500+17649-20149</f>
        <v>0</v>
      </c>
      <c r="P61" s="1928">
        <v>27805</v>
      </c>
      <c r="Q61" s="1928">
        <v>26855</v>
      </c>
      <c r="R61" s="1928">
        <v>26856</v>
      </c>
      <c r="S61" s="1928">
        <v>25567</v>
      </c>
      <c r="T61" s="1931">
        <v>0</v>
      </c>
      <c r="U61" s="1931">
        <v>0</v>
      </c>
      <c r="V61" s="1931">
        <v>0</v>
      </c>
      <c r="W61" s="1931">
        <v>0</v>
      </c>
      <c r="X61" s="1870">
        <f>SUM(P61:T61)</f>
        <v>107083</v>
      </c>
      <c r="Y61" s="4716"/>
    </row>
    <row r="62" spans="1:25">
      <c r="E62" s="1130"/>
      <c r="F62" s="1130"/>
      <c r="G62" s="1130"/>
      <c r="H62" s="1130"/>
      <c r="I62" s="1130"/>
      <c r="J62" s="1130"/>
      <c r="K62" s="1130"/>
      <c r="L62" s="1130"/>
      <c r="M62" s="1130"/>
      <c r="N62" s="1130"/>
      <c r="O62" s="1130"/>
      <c r="P62" s="1130"/>
      <c r="Y62" s="1131"/>
    </row>
    <row r="63" spans="1:25">
      <c r="E63" s="1130"/>
      <c r="F63" s="1130"/>
      <c r="G63" s="1130"/>
      <c r="H63" s="1130"/>
      <c r="I63" s="1130"/>
      <c r="J63" s="1130"/>
      <c r="K63" s="1130"/>
      <c r="L63" s="1130"/>
      <c r="M63" s="1130"/>
      <c r="N63" s="1130"/>
      <c r="O63" s="1130"/>
      <c r="P63" s="1130"/>
      <c r="Y63" s="1131"/>
    </row>
    <row r="64" spans="1:25">
      <c r="E64" s="1130"/>
      <c r="F64" s="1130"/>
      <c r="G64" s="1130"/>
      <c r="H64" s="1130"/>
      <c r="I64" s="1130"/>
      <c r="J64" s="1130"/>
      <c r="K64" s="1130"/>
      <c r="L64" s="1130"/>
      <c r="M64" s="1130"/>
      <c r="N64" s="1130"/>
      <c r="O64" s="1130"/>
      <c r="P64" s="1130"/>
      <c r="Y64" s="1131"/>
    </row>
    <row r="65" spans="5:25">
      <c r="E65" s="1130"/>
      <c r="F65" s="1130"/>
      <c r="G65" s="1130"/>
      <c r="H65" s="1130"/>
      <c r="I65" s="1130"/>
      <c r="J65" s="1130"/>
      <c r="K65" s="1130"/>
      <c r="L65" s="1130"/>
      <c r="M65" s="1130"/>
      <c r="N65" s="1130"/>
      <c r="O65" s="1130"/>
      <c r="P65" s="1130"/>
      <c r="Y65" s="1131"/>
    </row>
    <row r="66" spans="5:25">
      <c r="E66" s="1130"/>
      <c r="F66" s="1130"/>
      <c r="G66" s="1130"/>
      <c r="H66" s="1130"/>
      <c r="I66" s="1130"/>
      <c r="J66" s="1130"/>
      <c r="K66" s="1130"/>
      <c r="L66" s="1130"/>
      <c r="M66" s="1130"/>
      <c r="N66" s="1130"/>
      <c r="O66" s="1130"/>
      <c r="P66" s="1130"/>
      <c r="Y66" s="1131"/>
    </row>
    <row r="67" spans="5:25">
      <c r="E67" s="1130"/>
      <c r="F67" s="1130"/>
      <c r="G67" s="1130"/>
      <c r="H67" s="1130"/>
      <c r="I67" s="1130"/>
      <c r="J67" s="1130"/>
      <c r="K67" s="1130"/>
      <c r="L67" s="1130"/>
      <c r="M67" s="1130"/>
      <c r="N67" s="1130"/>
      <c r="O67" s="1130"/>
      <c r="P67" s="1130"/>
      <c r="Y67" s="1131"/>
    </row>
    <row r="68" spans="5:25">
      <c r="E68" s="1130"/>
      <c r="F68" s="1130"/>
      <c r="G68" s="1130"/>
      <c r="H68" s="1130"/>
      <c r="I68" s="1130"/>
      <c r="J68" s="1130"/>
      <c r="K68" s="1130"/>
      <c r="L68" s="1130"/>
      <c r="M68" s="1130"/>
      <c r="N68" s="1130"/>
      <c r="O68" s="1130"/>
      <c r="P68" s="1130"/>
      <c r="Y68" s="1131"/>
    </row>
    <row r="69" spans="5:25">
      <c r="E69" s="1130"/>
      <c r="F69" s="1130"/>
      <c r="G69" s="1130"/>
      <c r="H69" s="1130"/>
      <c r="I69" s="1130"/>
      <c r="J69" s="1130"/>
      <c r="K69" s="1130"/>
      <c r="L69" s="1130"/>
      <c r="M69" s="1130"/>
      <c r="N69" s="1130"/>
      <c r="O69" s="1130"/>
      <c r="P69" s="1130"/>
      <c r="Y69" s="1131"/>
    </row>
    <row r="70" spans="5:25">
      <c r="E70" s="1130"/>
      <c r="F70" s="1130"/>
      <c r="G70" s="1130"/>
      <c r="H70" s="1130"/>
      <c r="I70" s="1130"/>
      <c r="J70" s="1130"/>
      <c r="K70" s="1130"/>
      <c r="L70" s="1130"/>
      <c r="M70" s="1130"/>
      <c r="N70" s="1130"/>
      <c r="O70" s="1130"/>
      <c r="P70" s="1130"/>
      <c r="Y70" s="1131"/>
    </row>
    <row r="71" spans="5:25">
      <c r="E71" s="1130"/>
      <c r="F71" s="1130"/>
      <c r="G71" s="1130"/>
      <c r="H71" s="1130"/>
      <c r="I71" s="1130"/>
      <c r="J71" s="1130"/>
      <c r="K71" s="1130"/>
      <c r="L71" s="1130"/>
      <c r="M71" s="1130"/>
      <c r="N71" s="1130"/>
      <c r="O71" s="1130"/>
      <c r="P71" s="1130"/>
      <c r="Y71" s="1131"/>
    </row>
    <row r="72" spans="5:25">
      <c r="E72" s="1130"/>
      <c r="F72" s="1130"/>
      <c r="G72" s="1130"/>
      <c r="H72" s="1130"/>
      <c r="I72" s="1130"/>
      <c r="J72" s="1130"/>
      <c r="K72" s="1130"/>
      <c r="L72" s="1130"/>
      <c r="M72" s="1130"/>
      <c r="N72" s="1130"/>
      <c r="O72" s="1130"/>
      <c r="P72" s="1130"/>
      <c r="Y72" s="1131"/>
    </row>
    <row r="73" spans="5:25">
      <c r="E73" s="1130"/>
      <c r="F73" s="1130"/>
      <c r="G73" s="1130"/>
      <c r="H73" s="1130"/>
      <c r="I73" s="1130"/>
      <c r="J73" s="1130"/>
      <c r="K73" s="1130"/>
      <c r="L73" s="1130"/>
      <c r="M73" s="1130"/>
      <c r="N73" s="1130"/>
      <c r="O73" s="1130"/>
      <c r="P73" s="1130"/>
      <c r="Y73" s="1131"/>
    </row>
    <row r="74" spans="5:25">
      <c r="E74" s="1130"/>
      <c r="F74" s="1130"/>
      <c r="G74" s="1130"/>
      <c r="H74" s="1130"/>
      <c r="I74" s="1130"/>
      <c r="J74" s="1130"/>
      <c r="K74" s="1130"/>
      <c r="L74" s="1130"/>
      <c r="M74" s="1130"/>
      <c r="N74" s="1130"/>
      <c r="O74" s="1130"/>
      <c r="P74" s="1130"/>
      <c r="Y74" s="1131"/>
    </row>
    <row r="75" spans="5:25">
      <c r="E75" s="1130"/>
      <c r="F75" s="1130"/>
      <c r="G75" s="1130"/>
      <c r="H75" s="1130"/>
      <c r="I75" s="1130"/>
      <c r="J75" s="1130"/>
      <c r="K75" s="1130"/>
      <c r="L75" s="1130"/>
      <c r="M75" s="1130"/>
      <c r="N75" s="1130"/>
      <c r="O75" s="1130"/>
      <c r="P75" s="1130"/>
      <c r="Y75" s="1131"/>
    </row>
    <row r="76" spans="5:25">
      <c r="E76" s="1130"/>
      <c r="F76" s="1130"/>
      <c r="G76" s="1130"/>
      <c r="H76" s="1130"/>
      <c r="I76" s="1130"/>
      <c r="J76" s="1130"/>
      <c r="K76" s="1130"/>
      <c r="L76" s="1130"/>
      <c r="M76" s="1130"/>
      <c r="N76" s="1130"/>
      <c r="O76" s="1130"/>
      <c r="P76" s="1130"/>
      <c r="Y76" s="1131"/>
    </row>
    <row r="77" spans="5:25">
      <c r="E77" s="1130"/>
      <c r="F77" s="1130"/>
      <c r="G77" s="1130"/>
      <c r="H77" s="1130"/>
      <c r="I77" s="1130"/>
      <c r="J77" s="1130"/>
      <c r="K77" s="1130"/>
      <c r="L77" s="1130"/>
      <c r="M77" s="1130"/>
      <c r="N77" s="1130"/>
      <c r="O77" s="1130"/>
      <c r="P77" s="1130"/>
      <c r="Y77" s="1131"/>
    </row>
    <row r="78" spans="5:25">
      <c r="E78" s="1130"/>
      <c r="F78" s="1130"/>
      <c r="G78" s="1130"/>
      <c r="H78" s="1130"/>
      <c r="I78" s="1130"/>
      <c r="J78" s="1130"/>
      <c r="K78" s="1130"/>
      <c r="L78" s="1130"/>
      <c r="M78" s="1130"/>
      <c r="N78" s="1130"/>
      <c r="O78" s="1130"/>
      <c r="P78" s="1130"/>
      <c r="Y78" s="1131"/>
    </row>
    <row r="79" spans="5:25">
      <c r="E79" s="1130"/>
      <c r="F79" s="1130"/>
      <c r="G79" s="1130"/>
      <c r="H79" s="1130"/>
      <c r="I79" s="1130"/>
      <c r="J79" s="1130"/>
      <c r="K79" s="1130"/>
      <c r="L79" s="1130"/>
      <c r="M79" s="1130"/>
      <c r="N79" s="1130"/>
      <c r="O79" s="1130"/>
      <c r="P79" s="1130"/>
      <c r="Y79" s="1131"/>
    </row>
    <row r="80" spans="5:25">
      <c r="E80" s="1130"/>
      <c r="F80" s="1130"/>
      <c r="G80" s="1130"/>
      <c r="H80" s="1130"/>
      <c r="I80" s="1130"/>
      <c r="J80" s="1130"/>
      <c r="K80" s="1130"/>
      <c r="L80" s="1130"/>
      <c r="M80" s="1130"/>
      <c r="N80" s="1130"/>
      <c r="O80" s="1130"/>
      <c r="P80" s="1130"/>
      <c r="Y80" s="1131"/>
    </row>
    <row r="81" spans="5:25">
      <c r="E81" s="1130"/>
      <c r="F81" s="1130"/>
      <c r="G81" s="1130"/>
      <c r="H81" s="1130"/>
      <c r="I81" s="1130"/>
      <c r="J81" s="1130"/>
      <c r="K81" s="1130"/>
      <c r="L81" s="1130"/>
      <c r="M81" s="1130"/>
      <c r="N81" s="1130"/>
      <c r="O81" s="1130"/>
      <c r="P81" s="1130"/>
      <c r="Y81" s="1131"/>
    </row>
    <row r="82" spans="5:25">
      <c r="E82" s="1130"/>
      <c r="F82" s="1130"/>
      <c r="G82" s="1130"/>
      <c r="H82" s="1130"/>
      <c r="I82" s="1130"/>
      <c r="J82" s="1130"/>
      <c r="K82" s="1130"/>
      <c r="L82" s="1130"/>
      <c r="M82" s="1130"/>
      <c r="N82" s="1130"/>
      <c r="O82" s="1130"/>
      <c r="P82" s="1130"/>
      <c r="Y82" s="1131"/>
    </row>
    <row r="83" spans="5:25">
      <c r="E83" s="1130"/>
      <c r="F83" s="1130"/>
      <c r="G83" s="1130"/>
      <c r="H83" s="1130"/>
      <c r="I83" s="1130"/>
      <c r="J83" s="1130"/>
      <c r="K83" s="1130"/>
      <c r="L83" s="1130"/>
      <c r="M83" s="1130"/>
      <c r="N83" s="1130"/>
      <c r="O83" s="1130"/>
      <c r="P83" s="1130"/>
      <c r="Y83" s="1131"/>
    </row>
    <row r="84" spans="5:25">
      <c r="E84" s="1130"/>
      <c r="F84" s="1130"/>
      <c r="G84" s="1130"/>
      <c r="H84" s="1130"/>
      <c r="I84" s="1130"/>
      <c r="J84" s="1130"/>
      <c r="K84" s="1130"/>
      <c r="L84" s="1130"/>
      <c r="M84" s="1130"/>
      <c r="N84" s="1130"/>
      <c r="O84" s="1130"/>
      <c r="P84" s="1130"/>
      <c r="Y84" s="1131"/>
    </row>
    <row r="85" spans="5:25">
      <c r="E85" s="1130"/>
      <c r="F85" s="1130"/>
      <c r="G85" s="1130"/>
      <c r="H85" s="1130"/>
      <c r="I85" s="1130"/>
      <c r="J85" s="1130"/>
      <c r="K85" s="1130"/>
      <c r="L85" s="1130"/>
      <c r="M85" s="1130"/>
      <c r="N85" s="1130"/>
      <c r="O85" s="1130"/>
      <c r="P85" s="1130"/>
      <c r="Y85" s="1131"/>
    </row>
    <row r="86" spans="5:25">
      <c r="E86" s="1130"/>
      <c r="F86" s="1130"/>
      <c r="G86" s="1130"/>
      <c r="H86" s="1130"/>
      <c r="I86" s="1130"/>
      <c r="J86" s="1130"/>
      <c r="K86" s="1130"/>
      <c r="L86" s="1130"/>
      <c r="M86" s="1130"/>
      <c r="N86" s="1130"/>
      <c r="O86" s="1130"/>
      <c r="P86" s="1130"/>
      <c r="Y86" s="1131"/>
    </row>
    <row r="87" spans="5:25">
      <c r="E87" s="1130"/>
      <c r="F87" s="1130"/>
      <c r="G87" s="1130"/>
      <c r="H87" s="1130"/>
      <c r="I87" s="1130"/>
      <c r="J87" s="1130"/>
      <c r="K87" s="1130"/>
      <c r="L87" s="1130"/>
      <c r="M87" s="1130"/>
      <c r="N87" s="1130"/>
      <c r="O87" s="1130"/>
      <c r="P87" s="1130"/>
      <c r="Y87" s="1131"/>
    </row>
    <row r="88" spans="5:25">
      <c r="E88" s="1130"/>
      <c r="F88" s="1130"/>
      <c r="G88" s="1130"/>
      <c r="H88" s="1130">
        <f>H94+H98</f>
        <v>0</v>
      </c>
      <c r="I88" s="1130"/>
      <c r="J88" s="1130"/>
      <c r="K88" s="1130"/>
      <c r="L88" s="1130"/>
      <c r="M88" s="1130"/>
      <c r="N88" s="1130"/>
      <c r="O88" s="1130"/>
      <c r="P88" s="1130"/>
      <c r="Y88" s="1131"/>
    </row>
    <row r="89" spans="5:25">
      <c r="E89" s="1130"/>
      <c r="F89" s="1130"/>
      <c r="G89" s="1130"/>
      <c r="H89" s="1130"/>
      <c r="I89" s="1130"/>
      <c r="J89" s="1130"/>
      <c r="K89" s="1130"/>
      <c r="L89" s="1130"/>
      <c r="M89" s="1130"/>
      <c r="N89" s="1130"/>
      <c r="O89" s="1130"/>
      <c r="P89" s="1130"/>
      <c r="Y89" s="1131"/>
    </row>
    <row r="90" spans="5:25">
      <c r="E90" s="1130"/>
      <c r="F90" s="1130"/>
      <c r="G90" s="1130"/>
      <c r="H90" s="1130"/>
      <c r="I90" s="1130"/>
      <c r="J90" s="1130"/>
      <c r="K90" s="1130"/>
      <c r="L90" s="1130"/>
      <c r="M90" s="1130"/>
      <c r="N90" s="1130"/>
      <c r="O90" s="1130"/>
      <c r="P90" s="1130"/>
      <c r="Y90" s="1131"/>
    </row>
    <row r="91" spans="5:25">
      <c r="E91" s="1130"/>
      <c r="F91" s="1130"/>
      <c r="G91" s="1130"/>
      <c r="H91" s="1130"/>
      <c r="I91" s="1130"/>
      <c r="J91" s="1130"/>
      <c r="K91" s="1130"/>
      <c r="L91" s="1130"/>
      <c r="M91" s="1130"/>
      <c r="N91" s="1130"/>
      <c r="O91" s="1130"/>
      <c r="P91" s="1130"/>
      <c r="Y91" s="1131"/>
    </row>
    <row r="92" spans="5:25">
      <c r="E92" s="1130"/>
      <c r="F92" s="1130"/>
      <c r="G92" s="1130"/>
      <c r="H92" s="1130"/>
      <c r="I92" s="1130"/>
      <c r="J92" s="1130"/>
      <c r="K92" s="1130"/>
      <c r="L92" s="1130"/>
      <c r="M92" s="1130"/>
      <c r="N92" s="1130"/>
      <c r="O92" s="1130"/>
      <c r="P92" s="1130"/>
      <c r="Y92" s="1131"/>
    </row>
    <row r="93" spans="5:25">
      <c r="E93" s="1130"/>
      <c r="F93" s="1130"/>
      <c r="G93" s="1130"/>
      <c r="H93" s="1130"/>
      <c r="I93" s="1130"/>
      <c r="J93" s="1130"/>
      <c r="K93" s="1130"/>
      <c r="L93" s="1130"/>
      <c r="M93" s="1130"/>
      <c r="N93" s="1130"/>
      <c r="O93" s="1130"/>
      <c r="P93" s="1130"/>
      <c r="Y93" s="1131"/>
    </row>
    <row r="94" spans="5:25">
      <c r="E94" s="1130"/>
      <c r="F94" s="1130"/>
      <c r="G94" s="1130"/>
      <c r="H94" s="1130"/>
      <c r="I94" s="1130"/>
      <c r="J94" s="1130"/>
      <c r="K94" s="1130"/>
      <c r="L94" s="1130"/>
      <c r="M94" s="1130"/>
      <c r="N94" s="1130"/>
      <c r="O94" s="1130"/>
      <c r="P94" s="1130"/>
      <c r="Y94" s="1131"/>
    </row>
    <row r="95" spans="5:25">
      <c r="E95" s="1130"/>
      <c r="F95" s="1130"/>
      <c r="G95" s="1130"/>
      <c r="H95" s="1130"/>
      <c r="I95" s="1130"/>
      <c r="J95" s="1130"/>
      <c r="K95" s="1130"/>
      <c r="L95" s="1130"/>
      <c r="M95" s="1130"/>
      <c r="N95" s="1130"/>
      <c r="O95" s="1130"/>
      <c r="P95" s="1130"/>
      <c r="Y95" s="1131"/>
    </row>
    <row r="96" spans="5:25">
      <c r="E96" s="1130"/>
      <c r="F96" s="1130"/>
      <c r="G96" s="1130"/>
      <c r="H96" s="1130"/>
      <c r="I96" s="1130"/>
      <c r="J96" s="1130"/>
      <c r="K96" s="1130"/>
      <c r="L96" s="1130"/>
      <c r="M96" s="1130"/>
      <c r="N96" s="1130"/>
      <c r="O96" s="1130"/>
      <c r="P96" s="1130"/>
      <c r="Y96" s="1131"/>
    </row>
    <row r="97" spans="5:25">
      <c r="E97" s="1130"/>
      <c r="F97" s="1130"/>
      <c r="G97" s="1130"/>
      <c r="H97" s="1130"/>
      <c r="I97" s="1130"/>
      <c r="J97" s="1130"/>
      <c r="K97" s="1130"/>
      <c r="L97" s="1130"/>
      <c r="M97" s="1130"/>
      <c r="N97" s="1130"/>
      <c r="O97" s="1130"/>
      <c r="P97" s="1130"/>
      <c r="Y97" s="1131"/>
    </row>
    <row r="98" spans="5:25">
      <c r="E98" s="1130"/>
      <c r="F98" s="1130"/>
      <c r="G98" s="1130"/>
      <c r="H98" s="1130"/>
      <c r="I98" s="1130"/>
      <c r="J98" s="1130"/>
      <c r="K98" s="1130"/>
      <c r="L98" s="1130"/>
      <c r="M98" s="1130"/>
      <c r="N98" s="1130"/>
      <c r="O98" s="1130"/>
      <c r="P98" s="1130"/>
      <c r="Y98" s="1131"/>
    </row>
    <row r="99" spans="5:25">
      <c r="E99" s="1130"/>
      <c r="F99" s="1130"/>
      <c r="G99" s="1130"/>
      <c r="H99" s="1130"/>
      <c r="I99" s="1130"/>
      <c r="J99" s="1130"/>
      <c r="K99" s="1130"/>
      <c r="L99" s="1130"/>
      <c r="M99" s="1130"/>
      <c r="N99" s="1130"/>
      <c r="O99" s="1130"/>
      <c r="P99" s="1130"/>
      <c r="Y99" s="1131"/>
    </row>
    <row r="100" spans="5:25">
      <c r="E100" s="1130"/>
      <c r="F100" s="1130"/>
      <c r="G100" s="1130"/>
      <c r="H100" s="1130"/>
      <c r="I100" s="1130"/>
      <c r="J100" s="1130"/>
      <c r="K100" s="1130"/>
      <c r="L100" s="1130"/>
      <c r="M100" s="1130"/>
      <c r="N100" s="1130"/>
      <c r="O100" s="1130"/>
      <c r="P100" s="1130"/>
      <c r="Y100" s="1131"/>
    </row>
    <row r="101" spans="5:25">
      <c r="E101" s="1130"/>
      <c r="F101" s="1130"/>
      <c r="G101" s="1130"/>
      <c r="H101" s="1130"/>
      <c r="I101" s="1130"/>
      <c r="J101" s="1130"/>
      <c r="K101" s="1130"/>
      <c r="L101" s="1130"/>
      <c r="M101" s="1130"/>
      <c r="N101" s="1130"/>
      <c r="O101" s="1130"/>
      <c r="P101" s="1130"/>
      <c r="Y101" s="1131"/>
    </row>
    <row r="102" spans="5:25">
      <c r="E102" s="1130"/>
      <c r="F102" s="1130"/>
      <c r="G102" s="1130"/>
      <c r="H102" s="1130"/>
      <c r="I102" s="1130"/>
      <c r="J102" s="1130"/>
      <c r="K102" s="1130"/>
      <c r="L102" s="1130"/>
      <c r="M102" s="1130"/>
      <c r="N102" s="1130"/>
      <c r="O102" s="1130"/>
      <c r="P102" s="1130"/>
      <c r="Y102" s="1131"/>
    </row>
    <row r="103" spans="5:25">
      <c r="E103" s="1130"/>
      <c r="F103" s="1130"/>
      <c r="G103" s="1130"/>
      <c r="H103" s="1130"/>
      <c r="I103" s="1130"/>
      <c r="J103" s="1130"/>
      <c r="K103" s="1130"/>
      <c r="L103" s="1130"/>
      <c r="M103" s="1130"/>
      <c r="N103" s="1130"/>
      <c r="O103" s="1130"/>
      <c r="P103" s="1130"/>
      <c r="Y103" s="1131"/>
    </row>
    <row r="104" spans="5:25">
      <c r="E104" s="1130"/>
      <c r="F104" s="1130"/>
      <c r="G104" s="1130"/>
      <c r="H104" s="1130"/>
      <c r="I104" s="1130"/>
      <c r="J104" s="1130"/>
      <c r="K104" s="1130"/>
      <c r="L104" s="1130"/>
      <c r="M104" s="1130"/>
      <c r="N104" s="1130"/>
      <c r="O104" s="1130"/>
      <c r="P104" s="1130"/>
      <c r="Y104" s="1131"/>
    </row>
    <row r="105" spans="5:25">
      <c r="E105" s="1130"/>
      <c r="F105" s="1130"/>
      <c r="G105" s="1130"/>
      <c r="H105" s="1130"/>
      <c r="I105" s="1130"/>
      <c r="J105" s="1130"/>
      <c r="K105" s="1130"/>
      <c r="L105" s="1130"/>
      <c r="M105" s="1130"/>
      <c r="N105" s="1130"/>
      <c r="O105" s="1130"/>
      <c r="P105" s="1130"/>
      <c r="Y105" s="1131"/>
    </row>
    <row r="106" spans="5:25">
      <c r="E106" s="1130"/>
      <c r="F106" s="1130"/>
      <c r="G106" s="1130"/>
      <c r="H106" s="1130"/>
      <c r="I106" s="1130"/>
      <c r="J106" s="1130"/>
      <c r="K106" s="1130"/>
      <c r="L106" s="1130"/>
      <c r="M106" s="1130"/>
      <c r="N106" s="1130"/>
      <c r="O106" s="1130"/>
      <c r="P106" s="1130"/>
      <c r="Y106" s="1131"/>
    </row>
    <row r="107" spans="5:25">
      <c r="E107" s="1130"/>
      <c r="F107" s="1130"/>
      <c r="G107" s="1130"/>
      <c r="H107" s="1130"/>
      <c r="I107" s="1130"/>
      <c r="J107" s="1130"/>
      <c r="K107" s="1130"/>
      <c r="L107" s="1130"/>
      <c r="M107" s="1130"/>
      <c r="N107" s="1130"/>
      <c r="O107" s="1130"/>
      <c r="P107" s="1130"/>
      <c r="Y107" s="1131"/>
    </row>
    <row r="108" spans="5:25">
      <c r="E108" s="1130"/>
      <c r="F108" s="1130"/>
      <c r="G108" s="1130"/>
      <c r="H108" s="1130"/>
      <c r="I108" s="1130"/>
      <c r="J108" s="1130"/>
      <c r="K108" s="1130"/>
      <c r="L108" s="1130"/>
      <c r="M108" s="1130"/>
      <c r="N108" s="1130"/>
      <c r="O108" s="1130"/>
      <c r="P108" s="1130"/>
      <c r="Y108" s="1131"/>
    </row>
    <row r="109" spans="5:25">
      <c r="E109" s="1130"/>
      <c r="F109" s="1130"/>
      <c r="G109" s="1130"/>
      <c r="H109" s="1130"/>
      <c r="I109" s="1130"/>
      <c r="J109" s="1130"/>
      <c r="K109" s="1130"/>
      <c r="L109" s="1130"/>
      <c r="M109" s="1130"/>
      <c r="N109" s="1130"/>
      <c r="O109" s="1130"/>
      <c r="P109" s="1130"/>
      <c r="Y109" s="1131"/>
    </row>
    <row r="110" spans="5:25">
      <c r="E110" s="1130"/>
      <c r="F110" s="1130"/>
      <c r="G110" s="1130"/>
      <c r="H110" s="1130"/>
      <c r="I110" s="1130"/>
      <c r="J110" s="1130"/>
      <c r="K110" s="1130"/>
      <c r="L110" s="1130"/>
      <c r="M110" s="1130"/>
      <c r="N110" s="1130"/>
      <c r="O110" s="1130"/>
      <c r="P110" s="1130"/>
      <c r="Y110" s="1131"/>
    </row>
    <row r="111" spans="5:25">
      <c r="E111" s="1130"/>
      <c r="F111" s="1130"/>
      <c r="G111" s="1130"/>
      <c r="H111" s="1130"/>
      <c r="I111" s="1130"/>
      <c r="J111" s="1130"/>
      <c r="K111" s="1130"/>
      <c r="L111" s="1130"/>
      <c r="M111" s="1130"/>
      <c r="N111" s="1130"/>
      <c r="O111" s="1130"/>
      <c r="P111" s="1130"/>
      <c r="Y111" s="1131"/>
    </row>
    <row r="112" spans="5:25">
      <c r="E112" s="1130"/>
      <c r="F112" s="1130"/>
      <c r="G112" s="1130"/>
      <c r="H112" s="1130"/>
      <c r="I112" s="1130"/>
      <c r="J112" s="1130"/>
      <c r="K112" s="1130"/>
      <c r="L112" s="1130"/>
      <c r="M112" s="1130"/>
      <c r="N112" s="1130"/>
      <c r="O112" s="1130"/>
      <c r="P112" s="1130"/>
      <c r="Y112" s="1131"/>
    </row>
    <row r="113" spans="5:25">
      <c r="E113" s="1130"/>
      <c r="F113" s="1130"/>
      <c r="G113" s="1130"/>
      <c r="H113" s="1130"/>
      <c r="I113" s="1130"/>
      <c r="J113" s="1130"/>
      <c r="K113" s="1130"/>
      <c r="L113" s="1130"/>
      <c r="M113" s="1130"/>
      <c r="N113" s="1130"/>
      <c r="O113" s="1130"/>
      <c r="P113" s="1130"/>
      <c r="Y113" s="1131"/>
    </row>
    <row r="114" spans="5:25">
      <c r="E114" s="1130"/>
      <c r="F114" s="1130"/>
      <c r="G114" s="1130"/>
      <c r="H114" s="1130"/>
      <c r="I114" s="1130"/>
      <c r="J114" s="1130"/>
      <c r="K114" s="1130"/>
      <c r="L114" s="1130"/>
      <c r="M114" s="1130"/>
      <c r="N114" s="1130"/>
      <c r="O114" s="1130"/>
      <c r="P114" s="1130"/>
      <c r="Y114" s="1131"/>
    </row>
    <row r="115" spans="5:25">
      <c r="E115" s="1130"/>
      <c r="F115" s="1130"/>
      <c r="G115" s="1130"/>
      <c r="H115" s="1130"/>
      <c r="I115" s="1130"/>
      <c r="J115" s="1130"/>
      <c r="K115" s="1130"/>
      <c r="L115" s="1130"/>
      <c r="M115" s="1130"/>
      <c r="N115" s="1130"/>
      <c r="O115" s="1130"/>
      <c r="P115" s="1130"/>
      <c r="Y115" s="1131"/>
    </row>
    <row r="116" spans="5:25">
      <c r="E116" s="1130"/>
      <c r="F116" s="1130"/>
      <c r="G116" s="1130"/>
      <c r="H116" s="1130"/>
      <c r="I116" s="1130"/>
      <c r="J116" s="1130"/>
      <c r="K116" s="1130"/>
      <c r="L116" s="1130"/>
      <c r="M116" s="1130"/>
      <c r="N116" s="1130"/>
      <c r="O116" s="1130"/>
      <c r="P116" s="1130"/>
      <c r="Y116" s="1131"/>
    </row>
    <row r="117" spans="5:25">
      <c r="E117" s="1130"/>
      <c r="F117" s="1130"/>
      <c r="G117" s="1130"/>
      <c r="H117" s="1130"/>
      <c r="I117" s="1130"/>
      <c r="J117" s="1130"/>
      <c r="K117" s="1130"/>
      <c r="L117" s="1130"/>
      <c r="M117" s="1130"/>
      <c r="N117" s="1130"/>
      <c r="O117" s="1130"/>
      <c r="P117" s="1130"/>
      <c r="Y117" s="1131"/>
    </row>
    <row r="118" spans="5:25">
      <c r="E118" s="1130"/>
      <c r="F118" s="1130"/>
      <c r="G118" s="1130"/>
      <c r="H118" s="1130"/>
      <c r="I118" s="1130"/>
      <c r="J118" s="1130"/>
      <c r="K118" s="1130"/>
      <c r="L118" s="1130"/>
      <c r="M118" s="1130"/>
      <c r="N118" s="1130"/>
      <c r="O118" s="1130"/>
      <c r="P118" s="1130"/>
      <c r="Y118" s="1131"/>
    </row>
    <row r="119" spans="5:25">
      <c r="E119" s="1130"/>
      <c r="F119" s="1130"/>
      <c r="G119" s="1130"/>
      <c r="H119" s="1130"/>
      <c r="I119" s="1130"/>
      <c r="J119" s="1130"/>
      <c r="K119" s="1130"/>
      <c r="L119" s="1130"/>
      <c r="M119" s="1130"/>
      <c r="N119" s="1130"/>
      <c r="O119" s="1130"/>
      <c r="P119" s="1130"/>
      <c r="Y119" s="1131"/>
    </row>
    <row r="120" spans="5:25">
      <c r="E120" s="1130"/>
      <c r="F120" s="1130"/>
      <c r="G120" s="1130"/>
      <c r="H120" s="1130"/>
      <c r="I120" s="1130"/>
      <c r="J120" s="1130"/>
      <c r="K120" s="1130"/>
      <c r="L120" s="1130"/>
      <c r="M120" s="1130"/>
      <c r="N120" s="1130"/>
      <c r="O120" s="1130"/>
      <c r="P120" s="1130"/>
      <c r="Y120" s="1131"/>
    </row>
    <row r="121" spans="5:25">
      <c r="E121" s="1130"/>
      <c r="F121" s="1130"/>
      <c r="G121" s="1130"/>
      <c r="H121" s="1130"/>
      <c r="I121" s="1130"/>
      <c r="J121" s="1130"/>
      <c r="K121" s="1130"/>
      <c r="L121" s="1130"/>
      <c r="M121" s="1130"/>
      <c r="N121" s="1130"/>
      <c r="O121" s="1130"/>
      <c r="P121" s="1130"/>
      <c r="Y121" s="1131"/>
    </row>
    <row r="122" spans="5:25">
      <c r="E122" s="1130"/>
      <c r="F122" s="1130"/>
      <c r="G122" s="1130"/>
      <c r="H122" s="1130"/>
      <c r="I122" s="1130"/>
      <c r="J122" s="1130"/>
      <c r="K122" s="1130"/>
      <c r="L122" s="1130"/>
      <c r="M122" s="1130"/>
      <c r="N122" s="1130"/>
      <c r="O122" s="1130"/>
      <c r="P122" s="1130"/>
      <c r="Y122" s="1131"/>
    </row>
    <row r="123" spans="5:25">
      <c r="E123" s="1130"/>
      <c r="F123" s="1130"/>
      <c r="G123" s="1130"/>
      <c r="H123" s="1130"/>
      <c r="I123" s="1130"/>
      <c r="J123" s="1130"/>
      <c r="K123" s="1130"/>
      <c r="L123" s="1130"/>
      <c r="M123" s="1130"/>
      <c r="N123" s="1130"/>
      <c r="O123" s="1130"/>
      <c r="P123" s="1130"/>
      <c r="Y123" s="1131"/>
    </row>
    <row r="124" spans="5:25">
      <c r="E124" s="1130"/>
      <c r="F124" s="1130"/>
      <c r="G124" s="1130"/>
      <c r="H124" s="1130"/>
      <c r="I124" s="1130"/>
      <c r="J124" s="1130"/>
      <c r="K124" s="1130"/>
      <c r="L124" s="1130"/>
      <c r="M124" s="1130"/>
      <c r="N124" s="1130"/>
      <c r="O124" s="1130"/>
      <c r="P124" s="1130"/>
      <c r="Y124" s="1131"/>
    </row>
    <row r="125" spans="5:25">
      <c r="E125" s="1130"/>
      <c r="F125" s="1130"/>
      <c r="G125" s="1130"/>
      <c r="H125" s="1130"/>
      <c r="I125" s="1130"/>
      <c r="J125" s="1130"/>
      <c r="K125" s="1130"/>
      <c r="L125" s="1130"/>
      <c r="M125" s="1130"/>
      <c r="N125" s="1130"/>
      <c r="O125" s="1130"/>
      <c r="P125" s="1130"/>
      <c r="Y125" s="1131"/>
    </row>
    <row r="126" spans="5:25">
      <c r="E126" s="1130"/>
      <c r="F126" s="1130"/>
      <c r="G126" s="1130"/>
      <c r="H126" s="1130"/>
      <c r="I126" s="1130"/>
      <c r="J126" s="1130"/>
      <c r="K126" s="1130"/>
      <c r="L126" s="1130"/>
      <c r="M126" s="1130"/>
      <c r="N126" s="1130"/>
      <c r="O126" s="1130"/>
      <c r="P126" s="1130"/>
      <c r="Y126" s="1131"/>
    </row>
    <row r="127" spans="5:25">
      <c r="E127" s="1130"/>
      <c r="F127" s="1130"/>
      <c r="G127" s="1130"/>
      <c r="H127" s="1130"/>
      <c r="I127" s="1130"/>
      <c r="J127" s="1130"/>
      <c r="K127" s="1130"/>
      <c r="L127" s="1130"/>
      <c r="M127" s="1130"/>
      <c r="N127" s="1130"/>
      <c r="O127" s="1130"/>
      <c r="P127" s="1130"/>
      <c r="Y127" s="1131"/>
    </row>
    <row r="128" spans="5:25">
      <c r="E128" s="1130"/>
      <c r="F128" s="1130"/>
      <c r="G128" s="1130"/>
      <c r="H128" s="1130"/>
      <c r="I128" s="1130"/>
      <c r="J128" s="1130"/>
      <c r="K128" s="1130"/>
      <c r="L128" s="1130"/>
      <c r="M128" s="1130"/>
      <c r="N128" s="1130"/>
      <c r="O128" s="1130"/>
      <c r="P128" s="1130"/>
      <c r="Y128" s="1131"/>
    </row>
    <row r="129" spans="5:25">
      <c r="E129" s="1130"/>
      <c r="F129" s="1130"/>
      <c r="G129" s="1130"/>
      <c r="H129" s="1130"/>
      <c r="I129" s="1130"/>
      <c r="J129" s="1130"/>
      <c r="K129" s="1130"/>
      <c r="L129" s="1130"/>
      <c r="M129" s="1130"/>
      <c r="N129" s="1130"/>
      <c r="O129" s="1130"/>
      <c r="P129" s="1130"/>
      <c r="Y129" s="1131"/>
    </row>
    <row r="130" spans="5:25">
      <c r="E130" s="1130"/>
      <c r="F130" s="1130"/>
      <c r="G130" s="1130"/>
      <c r="H130" s="1130"/>
      <c r="I130" s="1130"/>
      <c r="J130" s="1130"/>
      <c r="K130" s="1130"/>
      <c r="L130" s="1130"/>
      <c r="M130" s="1130"/>
      <c r="N130" s="1130"/>
      <c r="O130" s="1130"/>
      <c r="P130" s="1130"/>
      <c r="Y130" s="1131"/>
    </row>
    <row r="131" spans="5:25">
      <c r="E131" s="1130"/>
      <c r="F131" s="1130"/>
      <c r="G131" s="1130"/>
      <c r="H131" s="1130"/>
      <c r="I131" s="1130"/>
      <c r="J131" s="1130"/>
      <c r="K131" s="1130"/>
      <c r="L131" s="1130"/>
      <c r="M131" s="1130"/>
      <c r="N131" s="1130"/>
      <c r="O131" s="1130"/>
      <c r="P131" s="1130"/>
      <c r="Y131" s="1131"/>
    </row>
    <row r="132" spans="5:25">
      <c r="E132" s="1130"/>
      <c r="F132" s="1130"/>
      <c r="G132" s="1130"/>
      <c r="H132" s="1130"/>
      <c r="I132" s="1130"/>
      <c r="J132" s="1130"/>
      <c r="K132" s="1130"/>
      <c r="L132" s="1130"/>
      <c r="M132" s="1130"/>
      <c r="N132" s="1130"/>
      <c r="O132" s="1130"/>
      <c r="P132" s="1130"/>
      <c r="Y132" s="1131"/>
    </row>
    <row r="133" spans="5:25">
      <c r="E133" s="1130"/>
      <c r="F133" s="1130"/>
      <c r="G133" s="1130"/>
      <c r="H133" s="1130"/>
      <c r="I133" s="1130"/>
      <c r="J133" s="1130"/>
      <c r="K133" s="1130"/>
      <c r="L133" s="1130"/>
      <c r="M133" s="1130"/>
      <c r="N133" s="1130"/>
      <c r="O133" s="1130"/>
      <c r="P133" s="1130"/>
      <c r="Y133" s="1131"/>
    </row>
    <row r="134" spans="5:25">
      <c r="E134" s="1130"/>
      <c r="F134" s="1130"/>
      <c r="G134" s="1130"/>
      <c r="H134" s="1130"/>
      <c r="I134" s="1130"/>
      <c r="J134" s="1130"/>
      <c r="K134" s="1130"/>
      <c r="L134" s="1130"/>
      <c r="M134" s="1130"/>
      <c r="N134" s="1130"/>
      <c r="O134" s="1130"/>
      <c r="P134" s="1130"/>
      <c r="Y134" s="1131"/>
    </row>
    <row r="135" spans="5:25">
      <c r="E135" s="1130"/>
      <c r="F135" s="1130"/>
      <c r="G135" s="1130"/>
      <c r="H135" s="1130"/>
      <c r="I135" s="1130"/>
      <c r="J135" s="1130"/>
      <c r="K135" s="1130"/>
      <c r="L135" s="1130"/>
      <c r="M135" s="1130"/>
      <c r="N135" s="1130"/>
      <c r="O135" s="1130"/>
      <c r="P135" s="1130"/>
      <c r="Y135" s="1131"/>
    </row>
    <row r="136" spans="5:25">
      <c r="E136" s="1130"/>
      <c r="F136" s="1130"/>
      <c r="G136" s="1130"/>
      <c r="H136" s="1130"/>
      <c r="I136" s="1130"/>
      <c r="J136" s="1130"/>
      <c r="K136" s="1130"/>
      <c r="L136" s="1130"/>
      <c r="M136" s="1130"/>
      <c r="N136" s="1130"/>
      <c r="O136" s="1130"/>
      <c r="P136" s="1130"/>
      <c r="Y136" s="1131"/>
    </row>
    <row r="137" spans="5:25">
      <c r="E137" s="1130"/>
      <c r="F137" s="1130"/>
      <c r="G137" s="1130"/>
      <c r="H137" s="1130"/>
      <c r="I137" s="1130"/>
      <c r="J137" s="1130"/>
      <c r="K137" s="1130"/>
      <c r="L137" s="1130"/>
      <c r="M137" s="1130"/>
      <c r="N137" s="1130"/>
      <c r="O137" s="1130"/>
      <c r="P137" s="1130"/>
      <c r="Y137" s="1131"/>
    </row>
    <row r="138" spans="5:25">
      <c r="E138" s="1130"/>
      <c r="F138" s="1130"/>
      <c r="G138" s="1130"/>
      <c r="H138" s="1130"/>
      <c r="I138" s="1130"/>
      <c r="J138" s="1130"/>
      <c r="K138" s="1130"/>
      <c r="L138" s="1130"/>
      <c r="M138" s="1130"/>
      <c r="N138" s="1130"/>
      <c r="O138" s="1130"/>
      <c r="P138" s="1130"/>
      <c r="Y138" s="1131"/>
    </row>
    <row r="139" spans="5:25">
      <c r="E139" s="1130"/>
      <c r="F139" s="1130"/>
      <c r="G139" s="1130"/>
      <c r="H139" s="1130"/>
      <c r="I139" s="1130"/>
      <c r="J139" s="1130"/>
      <c r="K139" s="1130"/>
      <c r="L139" s="1130"/>
      <c r="M139" s="1130"/>
      <c r="N139" s="1130"/>
      <c r="O139" s="1130"/>
      <c r="P139" s="1130"/>
      <c r="Y139" s="1131"/>
    </row>
    <row r="140" spans="5:25">
      <c r="E140" s="1130"/>
      <c r="F140" s="1130"/>
      <c r="G140" s="1130"/>
      <c r="H140" s="1130"/>
      <c r="I140" s="1130"/>
      <c r="J140" s="1130"/>
      <c r="K140" s="1130"/>
      <c r="L140" s="1130"/>
      <c r="M140" s="1130"/>
      <c r="N140" s="1130"/>
      <c r="O140" s="1130"/>
      <c r="P140" s="1130"/>
      <c r="Y140" s="1131"/>
    </row>
    <row r="141" spans="5:25">
      <c r="E141" s="1130"/>
      <c r="F141" s="1130"/>
      <c r="G141" s="1130"/>
      <c r="H141" s="1130"/>
      <c r="I141" s="1130"/>
      <c r="J141" s="1130"/>
      <c r="K141" s="1130"/>
      <c r="L141" s="1130"/>
      <c r="M141" s="1130"/>
      <c r="N141" s="1130"/>
      <c r="O141" s="1130"/>
      <c r="P141" s="1130"/>
      <c r="Y141" s="1131"/>
    </row>
    <row r="142" spans="5:25">
      <c r="E142" s="1130"/>
      <c r="F142" s="1130"/>
      <c r="G142" s="1130"/>
      <c r="H142" s="1130"/>
      <c r="I142" s="1130"/>
      <c r="J142" s="1130"/>
      <c r="K142" s="1130"/>
      <c r="L142" s="1130"/>
      <c r="M142" s="1130"/>
      <c r="N142" s="1130"/>
      <c r="O142" s="1130"/>
      <c r="P142" s="1130"/>
      <c r="Y142" s="1131"/>
    </row>
    <row r="143" spans="5:25">
      <c r="E143" s="1130"/>
      <c r="F143" s="1130"/>
      <c r="G143" s="1130"/>
      <c r="H143" s="1130"/>
      <c r="I143" s="1130"/>
      <c r="J143" s="1130"/>
      <c r="K143" s="1130"/>
      <c r="L143" s="1130"/>
      <c r="M143" s="1130"/>
      <c r="N143" s="1130"/>
      <c r="O143" s="1130"/>
      <c r="P143" s="1130"/>
      <c r="Y143" s="1131"/>
    </row>
    <row r="144" spans="5:25">
      <c r="E144" s="1130"/>
      <c r="F144" s="1130"/>
      <c r="G144" s="1130"/>
      <c r="H144" s="1130"/>
      <c r="I144" s="1130"/>
      <c r="J144" s="1130"/>
      <c r="K144" s="1130"/>
      <c r="L144" s="1130"/>
      <c r="M144" s="1130"/>
      <c r="N144" s="1130"/>
      <c r="O144" s="1130"/>
      <c r="P144" s="1130"/>
      <c r="Y144" s="1131"/>
    </row>
    <row r="145" spans="5:25">
      <c r="E145" s="1130"/>
      <c r="F145" s="1130"/>
      <c r="G145" s="1130"/>
      <c r="H145" s="1130"/>
      <c r="I145" s="1130"/>
      <c r="J145" s="1130"/>
      <c r="K145" s="1130"/>
      <c r="L145" s="1130"/>
      <c r="M145" s="1130"/>
      <c r="N145" s="1130"/>
      <c r="O145" s="1130"/>
      <c r="P145" s="1130"/>
      <c r="Y145" s="1131"/>
    </row>
    <row r="146" spans="5:25">
      <c r="E146" s="1130"/>
      <c r="F146" s="1130"/>
      <c r="G146" s="1130"/>
      <c r="H146" s="1130"/>
      <c r="I146" s="1130"/>
      <c r="J146" s="1130"/>
      <c r="K146" s="1130"/>
      <c r="L146" s="1130"/>
      <c r="M146" s="1130"/>
      <c r="N146" s="1130"/>
      <c r="O146" s="1130"/>
      <c r="P146" s="1130"/>
      <c r="Y146" s="1131"/>
    </row>
    <row r="147" spans="5:25">
      <c r="E147" s="1130"/>
      <c r="F147" s="1130"/>
      <c r="G147" s="1130"/>
      <c r="H147" s="1130"/>
      <c r="I147" s="1130"/>
      <c r="J147" s="1130"/>
      <c r="K147" s="1130"/>
      <c r="L147" s="1130"/>
      <c r="M147" s="1130"/>
      <c r="N147" s="1130"/>
      <c r="O147" s="1130"/>
      <c r="P147" s="1130"/>
      <c r="Y147" s="1131"/>
    </row>
    <row r="148" spans="5:25">
      <c r="E148" s="1130"/>
      <c r="F148" s="1130"/>
      <c r="G148" s="1130"/>
      <c r="H148" s="1130"/>
      <c r="I148" s="1130"/>
      <c r="J148" s="1130"/>
      <c r="K148" s="1130"/>
      <c r="L148" s="1130"/>
      <c r="M148" s="1130"/>
      <c r="N148" s="1130"/>
      <c r="O148" s="1130"/>
      <c r="P148" s="1130"/>
      <c r="Y148" s="1131"/>
    </row>
    <row r="149" spans="5:25">
      <c r="E149" s="1130"/>
      <c r="F149" s="1130"/>
      <c r="G149" s="1130"/>
      <c r="H149" s="1130"/>
      <c r="I149" s="1130"/>
      <c r="J149" s="1130"/>
      <c r="K149" s="1130"/>
      <c r="L149" s="1130"/>
      <c r="M149" s="1130"/>
      <c r="N149" s="1130"/>
      <c r="O149" s="1130"/>
      <c r="P149" s="1130"/>
      <c r="Y149" s="1131"/>
    </row>
    <row r="150" spans="5:25">
      <c r="E150" s="1130"/>
      <c r="F150" s="1130"/>
      <c r="G150" s="1130"/>
      <c r="H150" s="1130"/>
      <c r="I150" s="1130"/>
      <c r="J150" s="1130"/>
      <c r="K150" s="1130"/>
      <c r="L150" s="1130"/>
      <c r="M150" s="1130"/>
      <c r="N150" s="1130"/>
      <c r="O150" s="1130"/>
      <c r="P150" s="1130"/>
      <c r="Y150" s="1131"/>
    </row>
    <row r="151" spans="5:25">
      <c r="E151" s="1130"/>
      <c r="F151" s="1130"/>
      <c r="G151" s="1130"/>
      <c r="H151" s="1130"/>
      <c r="I151" s="1130"/>
      <c r="J151" s="1130"/>
      <c r="K151" s="1130"/>
      <c r="L151" s="1130"/>
      <c r="M151" s="1130"/>
      <c r="N151" s="1130"/>
      <c r="O151" s="1130"/>
      <c r="P151" s="1130"/>
      <c r="Y151" s="1131"/>
    </row>
    <row r="152" spans="5:25">
      <c r="E152" s="1130"/>
      <c r="F152" s="1130"/>
      <c r="G152" s="1130"/>
      <c r="H152" s="1130"/>
      <c r="I152" s="1130"/>
      <c r="J152" s="1130"/>
      <c r="K152" s="1130"/>
      <c r="L152" s="1130"/>
      <c r="M152" s="1130"/>
      <c r="N152" s="1130"/>
      <c r="O152" s="1130"/>
      <c r="P152" s="1130"/>
      <c r="Y152" s="1131"/>
    </row>
    <row r="153" spans="5:25">
      <c r="E153" s="1130"/>
      <c r="F153" s="1130"/>
      <c r="G153" s="1130"/>
      <c r="H153" s="1130"/>
      <c r="I153" s="1130"/>
      <c r="J153" s="1130"/>
      <c r="K153" s="1130"/>
      <c r="L153" s="1130"/>
      <c r="M153" s="1130"/>
      <c r="N153" s="1130"/>
      <c r="O153" s="1130"/>
      <c r="P153" s="1130"/>
      <c r="Y153" s="1131"/>
    </row>
    <row r="154" spans="5:25">
      <c r="E154" s="1130"/>
      <c r="F154" s="1130"/>
      <c r="G154" s="1130"/>
      <c r="H154" s="1130"/>
      <c r="I154" s="1130"/>
      <c r="J154" s="1130"/>
      <c r="K154" s="1130"/>
      <c r="L154" s="1130"/>
      <c r="M154" s="1130"/>
      <c r="N154" s="1130"/>
      <c r="O154" s="1130"/>
      <c r="P154" s="1130"/>
      <c r="Y154" s="1131"/>
    </row>
    <row r="155" spans="5:25">
      <c r="E155" s="1130"/>
      <c r="F155" s="1130"/>
      <c r="G155" s="1130"/>
      <c r="H155" s="1130"/>
      <c r="I155" s="1130"/>
      <c r="J155" s="1130"/>
      <c r="K155" s="1130"/>
      <c r="L155" s="1130"/>
      <c r="M155" s="1130"/>
      <c r="N155" s="1130"/>
      <c r="O155" s="1130"/>
      <c r="P155" s="1130"/>
      <c r="Y155" s="1131"/>
    </row>
    <row r="156" spans="5:25">
      <c r="E156" s="1130"/>
      <c r="F156" s="1130"/>
      <c r="G156" s="1130"/>
      <c r="H156" s="1130"/>
      <c r="I156" s="1130"/>
      <c r="J156" s="1130"/>
      <c r="K156" s="1130"/>
      <c r="L156" s="1130"/>
      <c r="M156" s="1130"/>
      <c r="N156" s="1130"/>
      <c r="O156" s="1130"/>
      <c r="P156" s="1130"/>
      <c r="Y156" s="1131"/>
    </row>
    <row r="157" spans="5:25">
      <c r="E157" s="1130"/>
      <c r="F157" s="1130"/>
      <c r="G157" s="1130"/>
      <c r="H157" s="1130"/>
      <c r="I157" s="1130"/>
      <c r="J157" s="1130"/>
      <c r="K157" s="1130"/>
      <c r="L157" s="1130"/>
      <c r="M157" s="1130"/>
      <c r="N157" s="1130"/>
      <c r="O157" s="1130"/>
      <c r="P157" s="1130"/>
      <c r="Y157" s="1131"/>
    </row>
    <row r="158" spans="5:25">
      <c r="E158" s="1130"/>
      <c r="F158" s="1130"/>
      <c r="G158" s="1130"/>
      <c r="H158" s="1130"/>
      <c r="I158" s="1130"/>
      <c r="J158" s="1130"/>
      <c r="K158" s="1130"/>
      <c r="L158" s="1130"/>
      <c r="M158" s="1130"/>
      <c r="N158" s="1130"/>
      <c r="O158" s="1130"/>
      <c r="P158" s="1130"/>
      <c r="Y158" s="1131"/>
    </row>
    <row r="159" spans="5:25">
      <c r="E159" s="1130"/>
      <c r="F159" s="1130"/>
      <c r="G159" s="1130"/>
      <c r="H159" s="1130"/>
      <c r="I159" s="1130"/>
      <c r="J159" s="1130"/>
      <c r="K159" s="1130"/>
      <c r="L159" s="1130"/>
      <c r="M159" s="1130"/>
      <c r="N159" s="1130"/>
      <c r="O159" s="1130"/>
      <c r="P159" s="1130"/>
      <c r="Y159" s="1131"/>
    </row>
    <row r="160" spans="5:25">
      <c r="E160" s="1130"/>
      <c r="F160" s="1130"/>
      <c r="G160" s="1130"/>
      <c r="H160" s="1130"/>
      <c r="I160" s="1130"/>
      <c r="J160" s="1130"/>
      <c r="K160" s="1130"/>
      <c r="L160" s="1130"/>
      <c r="M160" s="1130"/>
      <c r="N160" s="1130"/>
      <c r="O160" s="1130"/>
      <c r="P160" s="1130"/>
      <c r="Y160" s="1131"/>
    </row>
    <row r="161" spans="5:25">
      <c r="E161" s="1130"/>
      <c r="F161" s="1130"/>
      <c r="G161" s="1130"/>
      <c r="H161" s="1130"/>
      <c r="I161" s="1130"/>
      <c r="J161" s="1130"/>
      <c r="K161" s="1130"/>
      <c r="L161" s="1130"/>
      <c r="M161" s="1130"/>
      <c r="N161" s="1130"/>
      <c r="O161" s="1130"/>
      <c r="P161" s="1130"/>
      <c r="Y161" s="1131"/>
    </row>
    <row r="162" spans="5:25">
      <c r="E162" s="1130"/>
      <c r="F162" s="1130"/>
      <c r="G162" s="1130"/>
      <c r="H162" s="1130"/>
      <c r="I162" s="1130"/>
      <c r="J162" s="1130"/>
      <c r="K162" s="1130"/>
      <c r="L162" s="1130"/>
      <c r="M162" s="1130"/>
      <c r="N162" s="1130"/>
      <c r="O162" s="1130"/>
      <c r="P162" s="1130"/>
      <c r="Y162" s="1131"/>
    </row>
    <row r="163" spans="5:25">
      <c r="E163" s="1130"/>
      <c r="F163" s="1130"/>
      <c r="G163" s="1130"/>
      <c r="H163" s="1130"/>
      <c r="I163" s="1130"/>
      <c r="J163" s="1130"/>
      <c r="K163" s="1130"/>
      <c r="L163" s="1130"/>
      <c r="M163" s="1130"/>
      <c r="N163" s="1130"/>
      <c r="O163" s="1130"/>
      <c r="P163" s="1130"/>
      <c r="Y163" s="1131"/>
    </row>
    <row r="164" spans="5:25">
      <c r="E164" s="1130"/>
      <c r="F164" s="1130"/>
      <c r="G164" s="1130"/>
      <c r="H164" s="1130"/>
      <c r="I164" s="1130"/>
      <c r="J164" s="1130"/>
      <c r="K164" s="1130"/>
      <c r="L164" s="1130"/>
      <c r="M164" s="1130"/>
      <c r="N164" s="1130"/>
      <c r="O164" s="1130"/>
      <c r="P164" s="1130"/>
      <c r="Y164" s="1131"/>
    </row>
    <row r="165" spans="5:25">
      <c r="E165" s="1130"/>
      <c r="F165" s="1130"/>
      <c r="G165" s="1130"/>
      <c r="H165" s="1130"/>
      <c r="I165" s="1130"/>
      <c r="J165" s="1130"/>
      <c r="K165" s="1130"/>
      <c r="L165" s="1130"/>
      <c r="M165" s="1130"/>
      <c r="N165" s="1130"/>
      <c r="O165" s="1130"/>
      <c r="P165" s="1130"/>
      <c r="Y165" s="1131"/>
    </row>
    <row r="166" spans="5:25">
      <c r="E166" s="1130"/>
      <c r="F166" s="1130"/>
      <c r="G166" s="1130"/>
      <c r="H166" s="1130"/>
      <c r="I166" s="1130"/>
      <c r="J166" s="1130"/>
      <c r="K166" s="1130"/>
      <c r="L166" s="1130"/>
      <c r="M166" s="1130"/>
      <c r="N166" s="1130"/>
      <c r="O166" s="1130"/>
      <c r="P166" s="1130"/>
      <c r="Y166" s="1131"/>
    </row>
    <row r="167" spans="5:25">
      <c r="E167" s="1130"/>
      <c r="F167" s="1130"/>
      <c r="G167" s="1130"/>
      <c r="H167" s="1130"/>
      <c r="I167" s="1130"/>
      <c r="J167" s="1130"/>
      <c r="K167" s="1130"/>
      <c r="L167" s="1130"/>
      <c r="M167" s="1130"/>
      <c r="N167" s="1130"/>
      <c r="O167" s="1130"/>
      <c r="P167" s="1130"/>
      <c r="Y167" s="1131"/>
    </row>
    <row r="168" spans="5:25">
      <c r="E168" s="1130"/>
      <c r="F168" s="1130"/>
      <c r="G168" s="1130"/>
      <c r="H168" s="1130"/>
      <c r="I168" s="1130"/>
      <c r="J168" s="1130"/>
      <c r="K168" s="1130"/>
      <c r="L168" s="1130"/>
      <c r="M168" s="1130"/>
      <c r="N168" s="1130"/>
      <c r="O168" s="1130"/>
      <c r="P168" s="1130"/>
      <c r="Y168" s="1131"/>
    </row>
    <row r="169" spans="5:25">
      <c r="E169" s="1130"/>
      <c r="F169" s="1130"/>
      <c r="G169" s="1130"/>
      <c r="H169" s="1130"/>
      <c r="I169" s="1130"/>
      <c r="J169" s="1130"/>
      <c r="K169" s="1130"/>
      <c r="L169" s="1130"/>
      <c r="M169" s="1130"/>
      <c r="N169" s="1130"/>
      <c r="O169" s="1130"/>
      <c r="P169" s="1130"/>
      <c r="Y169" s="1131"/>
    </row>
    <row r="170" spans="5:25">
      <c r="E170" s="1130"/>
      <c r="F170" s="1130"/>
      <c r="G170" s="1130"/>
      <c r="H170" s="1130"/>
      <c r="I170" s="1130"/>
      <c r="J170" s="1130"/>
      <c r="K170" s="1130"/>
      <c r="L170" s="1130"/>
      <c r="M170" s="1130"/>
      <c r="N170" s="1130"/>
      <c r="O170" s="1130"/>
      <c r="P170" s="1130"/>
      <c r="Y170" s="1131"/>
    </row>
    <row r="171" spans="5:25">
      <c r="E171" s="1130"/>
      <c r="F171" s="1130"/>
      <c r="G171" s="1130"/>
      <c r="H171" s="1130"/>
      <c r="I171" s="1130"/>
      <c r="J171" s="1130"/>
      <c r="K171" s="1130"/>
      <c r="L171" s="1130"/>
      <c r="M171" s="1130"/>
      <c r="N171" s="1130"/>
      <c r="O171" s="1130"/>
      <c r="P171" s="1130"/>
      <c r="Y171" s="1131"/>
    </row>
    <row r="172" spans="5:25">
      <c r="E172" s="1130"/>
      <c r="F172" s="1130"/>
      <c r="G172" s="1130"/>
      <c r="H172" s="1130"/>
      <c r="I172" s="1130"/>
      <c r="J172" s="1130"/>
      <c r="K172" s="1130"/>
      <c r="L172" s="1130"/>
      <c r="M172" s="1130"/>
      <c r="N172" s="1130"/>
      <c r="O172" s="1130"/>
      <c r="P172" s="1130"/>
      <c r="Y172" s="1131"/>
    </row>
    <row r="173" spans="5:25">
      <c r="E173" s="1130"/>
      <c r="F173" s="1130"/>
      <c r="G173" s="1130"/>
      <c r="H173" s="1130"/>
      <c r="I173" s="1130"/>
      <c r="J173" s="1130"/>
      <c r="K173" s="1130"/>
      <c r="L173" s="1130"/>
      <c r="M173" s="1130"/>
      <c r="N173" s="1130"/>
      <c r="O173" s="1130"/>
      <c r="P173" s="1130"/>
      <c r="Y173" s="1131"/>
    </row>
    <row r="174" spans="5:25">
      <c r="E174" s="1130"/>
      <c r="F174" s="1130"/>
      <c r="G174" s="1130"/>
      <c r="H174" s="1130"/>
      <c r="I174" s="1130"/>
      <c r="J174" s="1130"/>
      <c r="K174" s="1130"/>
      <c r="L174" s="1130"/>
      <c r="M174" s="1130"/>
      <c r="N174" s="1130"/>
      <c r="O174" s="1130"/>
      <c r="P174" s="1130"/>
      <c r="Y174" s="1131"/>
    </row>
    <row r="175" spans="5:25">
      <c r="E175" s="1130"/>
      <c r="F175" s="1130"/>
      <c r="G175" s="1130"/>
      <c r="H175" s="1130"/>
      <c r="I175" s="1130"/>
      <c r="J175" s="1130"/>
      <c r="K175" s="1130"/>
      <c r="L175" s="1130"/>
      <c r="M175" s="1130"/>
      <c r="N175" s="1130"/>
      <c r="O175" s="1130"/>
      <c r="P175" s="1130"/>
      <c r="Y175" s="1131"/>
    </row>
    <row r="176" spans="5:25">
      <c r="E176" s="1130"/>
      <c r="F176" s="1130"/>
      <c r="G176" s="1130"/>
      <c r="H176" s="1130"/>
      <c r="I176" s="1130"/>
      <c r="J176" s="1130"/>
      <c r="K176" s="1130"/>
      <c r="L176" s="1130"/>
      <c r="M176" s="1130"/>
      <c r="N176" s="1130"/>
      <c r="O176" s="1130"/>
      <c r="P176" s="1130"/>
      <c r="Y176" s="1131"/>
    </row>
    <row r="177" spans="5:25">
      <c r="E177" s="1130"/>
      <c r="F177" s="1130"/>
      <c r="G177" s="1130"/>
      <c r="H177" s="1130"/>
      <c r="I177" s="1130"/>
      <c r="J177" s="1130"/>
      <c r="K177" s="1130"/>
      <c r="L177" s="1130"/>
      <c r="M177" s="1130"/>
      <c r="N177" s="1130"/>
      <c r="O177" s="1130"/>
      <c r="P177" s="1130"/>
      <c r="Y177" s="1131"/>
    </row>
    <row r="178" spans="5:25">
      <c r="E178" s="1130"/>
      <c r="F178" s="1130"/>
      <c r="G178" s="1130"/>
      <c r="H178" s="1130"/>
      <c r="I178" s="1130"/>
      <c r="J178" s="1130"/>
      <c r="K178" s="1130"/>
      <c r="L178" s="1130"/>
      <c r="M178" s="1130"/>
      <c r="N178" s="1130"/>
      <c r="O178" s="1130"/>
      <c r="P178" s="1130"/>
      <c r="Y178" s="1131"/>
    </row>
    <row r="179" spans="5:25">
      <c r="E179" s="1130"/>
      <c r="F179" s="1130"/>
      <c r="G179" s="1130"/>
      <c r="H179" s="1130"/>
      <c r="I179" s="1130"/>
      <c r="J179" s="1130"/>
      <c r="K179" s="1130"/>
      <c r="L179" s="1130"/>
      <c r="M179" s="1130"/>
      <c r="N179" s="1130"/>
      <c r="O179" s="1130"/>
      <c r="P179" s="1130"/>
      <c r="Y179" s="1131"/>
    </row>
    <row r="180" spans="5:25">
      <c r="E180" s="1130"/>
      <c r="F180" s="1130"/>
      <c r="G180" s="1130"/>
      <c r="H180" s="1130"/>
      <c r="I180" s="1130"/>
      <c r="J180" s="1130"/>
      <c r="K180" s="1130"/>
      <c r="L180" s="1130"/>
      <c r="M180" s="1130"/>
      <c r="N180" s="1130"/>
      <c r="O180" s="1130"/>
      <c r="P180" s="1130"/>
      <c r="Y180" s="1131"/>
    </row>
    <row r="181" spans="5:25">
      <c r="E181" s="1130"/>
      <c r="F181" s="1130"/>
      <c r="G181" s="1130"/>
      <c r="H181" s="1130"/>
      <c r="I181" s="1130"/>
      <c r="J181" s="1130"/>
      <c r="K181" s="1130"/>
      <c r="L181" s="1130"/>
      <c r="M181" s="1130"/>
      <c r="N181" s="1130"/>
      <c r="O181" s="1130"/>
      <c r="P181" s="1130"/>
      <c r="Y181" s="1131"/>
    </row>
    <row r="182" spans="5:25">
      <c r="E182" s="1130"/>
      <c r="F182" s="1130"/>
      <c r="G182" s="1130"/>
      <c r="H182" s="1130"/>
      <c r="I182" s="1130"/>
      <c r="J182" s="1130"/>
      <c r="K182" s="1130"/>
      <c r="L182" s="1130"/>
      <c r="M182" s="1130"/>
      <c r="N182" s="1130"/>
      <c r="O182" s="1130"/>
      <c r="P182" s="1130"/>
      <c r="Y182" s="1131"/>
    </row>
    <row r="183" spans="5:25">
      <c r="E183" s="1130"/>
      <c r="F183" s="1130"/>
      <c r="G183" s="1130"/>
      <c r="H183" s="1130"/>
      <c r="I183" s="1130"/>
      <c r="J183" s="1130"/>
      <c r="K183" s="1130"/>
      <c r="L183" s="1130"/>
      <c r="M183" s="1130"/>
      <c r="N183" s="1130"/>
      <c r="O183" s="1130"/>
      <c r="P183" s="1130"/>
      <c r="Y183" s="1131"/>
    </row>
    <row r="184" spans="5:25">
      <c r="E184" s="1130"/>
      <c r="F184" s="1130"/>
      <c r="G184" s="1130"/>
      <c r="H184" s="1130"/>
      <c r="I184" s="1130"/>
      <c r="J184" s="1130"/>
      <c r="K184" s="1130"/>
      <c r="L184" s="1130"/>
      <c r="M184" s="1130"/>
      <c r="N184" s="1130"/>
      <c r="O184" s="1130"/>
      <c r="P184" s="1130"/>
      <c r="Y184" s="1131"/>
    </row>
    <row r="185" spans="5:25">
      <c r="E185" s="1130"/>
      <c r="F185" s="1130"/>
      <c r="G185" s="1130"/>
      <c r="H185" s="1130"/>
      <c r="I185" s="1130"/>
      <c r="J185" s="1130"/>
      <c r="K185" s="1130"/>
      <c r="L185" s="1130"/>
      <c r="M185" s="1130"/>
      <c r="N185" s="1130"/>
      <c r="O185" s="1130"/>
      <c r="P185" s="1130"/>
      <c r="Y185" s="1131"/>
    </row>
    <row r="186" spans="5:25">
      <c r="E186" s="1130"/>
      <c r="F186" s="1130"/>
      <c r="G186" s="1130"/>
      <c r="H186" s="1130"/>
      <c r="I186" s="1130"/>
      <c r="J186" s="1130"/>
      <c r="K186" s="1130"/>
      <c r="L186" s="1130"/>
      <c r="M186" s="1130"/>
      <c r="N186" s="1130"/>
      <c r="O186" s="1130"/>
      <c r="P186" s="1130"/>
      <c r="Y186" s="1131"/>
    </row>
    <row r="187" spans="5:25">
      <c r="E187" s="1130"/>
      <c r="F187" s="1130"/>
      <c r="G187" s="1130"/>
      <c r="H187" s="1130"/>
      <c r="I187" s="1130"/>
      <c r="J187" s="1130"/>
      <c r="K187" s="1130"/>
      <c r="L187" s="1130"/>
      <c r="M187" s="1130"/>
      <c r="N187" s="1130"/>
      <c r="O187" s="1130"/>
      <c r="P187" s="1130"/>
      <c r="Y187" s="1131"/>
    </row>
    <row r="188" spans="5:25">
      <c r="E188" s="1130"/>
      <c r="F188" s="1130"/>
      <c r="G188" s="1130"/>
      <c r="H188" s="1130"/>
      <c r="I188" s="1130"/>
      <c r="J188" s="1130"/>
      <c r="K188" s="1130"/>
      <c r="L188" s="1130"/>
      <c r="M188" s="1130"/>
      <c r="N188" s="1130"/>
      <c r="O188" s="1130"/>
      <c r="P188" s="1130"/>
      <c r="Y188" s="1131"/>
    </row>
    <row r="189" spans="5:25">
      <c r="E189" s="1130"/>
      <c r="F189" s="1130"/>
      <c r="G189" s="1130"/>
      <c r="H189" s="1130"/>
      <c r="I189" s="1130"/>
      <c r="J189" s="1130"/>
      <c r="K189" s="1130"/>
      <c r="L189" s="1130"/>
      <c r="M189" s="1130"/>
      <c r="N189" s="1130"/>
      <c r="O189" s="1130"/>
      <c r="P189" s="1130"/>
      <c r="Y189" s="1131"/>
    </row>
    <row r="190" spans="5:25">
      <c r="E190" s="1130"/>
      <c r="F190" s="1130"/>
      <c r="G190" s="1130"/>
      <c r="H190" s="1130"/>
      <c r="I190" s="1130"/>
      <c r="J190" s="1130"/>
      <c r="K190" s="1130"/>
      <c r="L190" s="1130"/>
      <c r="M190" s="1130"/>
      <c r="N190" s="1130"/>
      <c r="O190" s="1130"/>
      <c r="P190" s="1130"/>
      <c r="Y190" s="1131"/>
    </row>
    <row r="191" spans="5:25">
      <c r="E191" s="1130"/>
      <c r="F191" s="1130"/>
      <c r="G191" s="1130"/>
      <c r="H191" s="1130"/>
      <c r="I191" s="1130"/>
      <c r="J191" s="1130"/>
      <c r="K191" s="1130"/>
      <c r="L191" s="1130"/>
      <c r="M191" s="1130"/>
      <c r="N191" s="1130"/>
      <c r="O191" s="1130"/>
      <c r="P191" s="1130"/>
      <c r="Y191" s="1131"/>
    </row>
    <row r="192" spans="5:25">
      <c r="E192" s="1130"/>
      <c r="F192" s="1130"/>
      <c r="G192" s="1130"/>
      <c r="H192" s="1130"/>
      <c r="I192" s="1130"/>
      <c r="J192" s="1130"/>
      <c r="K192" s="1130"/>
      <c r="L192" s="1130"/>
      <c r="M192" s="1130"/>
      <c r="N192" s="1130"/>
      <c r="O192" s="1130"/>
      <c r="P192" s="1130"/>
      <c r="Y192" s="1131"/>
    </row>
    <row r="193" spans="5:25">
      <c r="E193" s="1130"/>
      <c r="F193" s="1130"/>
      <c r="G193" s="1130"/>
      <c r="H193" s="1130"/>
      <c r="I193" s="1130"/>
      <c r="J193" s="1130"/>
      <c r="K193" s="1130"/>
      <c r="L193" s="1130"/>
      <c r="M193" s="1130"/>
      <c r="N193" s="1130"/>
      <c r="O193" s="1130"/>
      <c r="P193" s="1130"/>
      <c r="Y193" s="1131"/>
    </row>
    <row r="194" spans="5:25">
      <c r="E194" s="1130"/>
      <c r="F194" s="1130"/>
      <c r="G194" s="1130"/>
      <c r="H194" s="1130"/>
      <c r="I194" s="1130"/>
      <c r="J194" s="1130"/>
      <c r="K194" s="1130"/>
      <c r="L194" s="1130"/>
      <c r="M194" s="1130"/>
      <c r="N194" s="1130"/>
      <c r="O194" s="1130"/>
      <c r="P194" s="1130"/>
      <c r="Y194" s="1131"/>
    </row>
    <row r="195" spans="5:25">
      <c r="E195" s="1130"/>
      <c r="F195" s="1130"/>
      <c r="G195" s="1130"/>
      <c r="H195" s="1130"/>
      <c r="I195" s="1130"/>
      <c r="J195" s="1130"/>
      <c r="K195" s="1130"/>
      <c r="L195" s="1130"/>
      <c r="M195" s="1130"/>
      <c r="N195" s="1130"/>
      <c r="O195" s="1130"/>
      <c r="P195" s="1130"/>
      <c r="Y195" s="1131"/>
    </row>
    <row r="196" spans="5:25">
      <c r="E196" s="1130"/>
      <c r="F196" s="1130"/>
      <c r="G196" s="1130"/>
      <c r="H196" s="1130"/>
      <c r="I196" s="1130"/>
      <c r="J196" s="1130"/>
      <c r="K196" s="1130"/>
      <c r="L196" s="1130"/>
      <c r="M196" s="1130"/>
      <c r="N196" s="1130"/>
      <c r="O196" s="1130"/>
      <c r="P196" s="1130"/>
      <c r="Y196" s="1131"/>
    </row>
    <row r="197" spans="5:25">
      <c r="E197" s="1130"/>
      <c r="F197" s="1130"/>
      <c r="G197" s="1130"/>
      <c r="H197" s="1130"/>
      <c r="I197" s="1130"/>
      <c r="J197" s="1130"/>
      <c r="K197" s="1130"/>
      <c r="L197" s="1130"/>
      <c r="M197" s="1130"/>
      <c r="N197" s="1130"/>
      <c r="O197" s="1130"/>
      <c r="P197" s="1130"/>
      <c r="Y197" s="1131"/>
    </row>
    <row r="198" spans="5:25">
      <c r="E198" s="1130"/>
      <c r="F198" s="1130"/>
      <c r="G198" s="1130"/>
      <c r="H198" s="1130"/>
      <c r="I198" s="1130"/>
      <c r="J198" s="1130"/>
      <c r="K198" s="1130"/>
      <c r="L198" s="1130"/>
      <c r="M198" s="1130"/>
      <c r="N198" s="1130"/>
      <c r="O198" s="1130"/>
      <c r="P198" s="1130"/>
      <c r="Y198" s="1131"/>
    </row>
    <row r="199" spans="5:25">
      <c r="E199" s="1130"/>
      <c r="F199" s="1130"/>
      <c r="G199" s="1130"/>
      <c r="H199" s="1130"/>
      <c r="I199" s="1130"/>
      <c r="J199" s="1130"/>
      <c r="K199" s="1130"/>
      <c r="L199" s="1130"/>
      <c r="M199" s="1130"/>
      <c r="N199" s="1130"/>
      <c r="O199" s="1130"/>
      <c r="P199" s="1130"/>
      <c r="Y199" s="1131"/>
    </row>
    <row r="200" spans="5:25">
      <c r="E200" s="1130"/>
      <c r="F200" s="1130"/>
      <c r="G200" s="1130"/>
      <c r="H200" s="1130"/>
      <c r="I200" s="1130"/>
      <c r="J200" s="1130"/>
      <c r="K200" s="1130"/>
      <c r="L200" s="1130"/>
      <c r="M200" s="1130"/>
      <c r="N200" s="1130"/>
      <c r="O200" s="1130"/>
      <c r="P200" s="1130"/>
      <c r="Y200" s="1131"/>
    </row>
    <row r="201" spans="5:25">
      <c r="E201" s="1130"/>
      <c r="F201" s="1130"/>
      <c r="G201" s="1130"/>
      <c r="H201" s="1130"/>
      <c r="I201" s="1130"/>
      <c r="J201" s="1130"/>
      <c r="K201" s="1130"/>
      <c r="L201" s="1130"/>
      <c r="M201" s="1130"/>
      <c r="N201" s="1130"/>
      <c r="O201" s="1130"/>
      <c r="P201" s="1130"/>
      <c r="Y201" s="1131"/>
    </row>
    <row r="202" spans="5:25">
      <c r="E202" s="1130"/>
      <c r="F202" s="1130"/>
      <c r="G202" s="1130"/>
      <c r="H202" s="1130"/>
      <c r="I202" s="1130"/>
      <c r="J202" s="1130"/>
      <c r="K202" s="1130"/>
      <c r="L202" s="1130"/>
      <c r="M202" s="1130"/>
      <c r="N202" s="1130"/>
      <c r="O202" s="1130"/>
      <c r="P202" s="1130"/>
      <c r="Y202" s="1131"/>
    </row>
    <row r="203" spans="5:25">
      <c r="E203" s="1130"/>
      <c r="F203" s="1130"/>
      <c r="G203" s="1130"/>
      <c r="H203" s="1130"/>
      <c r="I203" s="1130"/>
      <c r="J203" s="1130"/>
      <c r="K203" s="1130"/>
      <c r="L203" s="1130"/>
      <c r="M203" s="1130"/>
      <c r="N203" s="1130"/>
      <c r="O203" s="1130"/>
      <c r="P203" s="1130"/>
      <c r="Y203" s="1131"/>
    </row>
    <row r="204" spans="5:25">
      <c r="E204" s="1130"/>
      <c r="F204" s="1130"/>
      <c r="G204" s="1130"/>
      <c r="H204" s="1130"/>
      <c r="I204" s="1130"/>
      <c r="J204" s="1130"/>
      <c r="K204" s="1130"/>
      <c r="L204" s="1130"/>
      <c r="M204" s="1130"/>
      <c r="N204" s="1130"/>
      <c r="O204" s="1130"/>
      <c r="P204" s="1130"/>
      <c r="Y204" s="1131"/>
    </row>
    <row r="205" spans="5:25">
      <c r="E205" s="1130"/>
      <c r="F205" s="1130"/>
      <c r="G205" s="1130"/>
      <c r="H205" s="1130"/>
      <c r="I205" s="1130"/>
      <c r="J205" s="1130"/>
      <c r="K205" s="1130"/>
      <c r="L205" s="1130"/>
      <c r="M205" s="1130"/>
      <c r="N205" s="1130"/>
      <c r="O205" s="1130"/>
      <c r="P205" s="1130"/>
      <c r="Y205" s="1131"/>
    </row>
    <row r="206" spans="5:25">
      <c r="E206" s="1130"/>
      <c r="F206" s="1130"/>
      <c r="G206" s="1130"/>
      <c r="H206" s="1130"/>
      <c r="I206" s="1130"/>
      <c r="J206" s="1130"/>
      <c r="K206" s="1130"/>
      <c r="L206" s="1130"/>
      <c r="M206" s="1130"/>
      <c r="N206" s="1130"/>
      <c r="O206" s="1130"/>
      <c r="P206" s="1130"/>
      <c r="Y206" s="1131"/>
    </row>
    <row r="207" spans="5:25">
      <c r="E207" s="1130"/>
      <c r="F207" s="1130"/>
      <c r="G207" s="1130"/>
      <c r="H207" s="1130"/>
      <c r="I207" s="1130"/>
      <c r="J207" s="1130"/>
      <c r="K207" s="1130"/>
      <c r="L207" s="1130"/>
      <c r="M207" s="1130"/>
      <c r="N207" s="1130"/>
      <c r="O207" s="1130"/>
      <c r="P207" s="1130"/>
      <c r="Y207" s="1131"/>
    </row>
    <row r="208" spans="5:25">
      <c r="E208" s="1130"/>
      <c r="F208" s="1130"/>
      <c r="G208" s="1130"/>
      <c r="H208" s="1130"/>
      <c r="I208" s="1130"/>
      <c r="J208" s="1130"/>
      <c r="K208" s="1130"/>
      <c r="L208" s="1130"/>
      <c r="M208" s="1130"/>
      <c r="N208" s="1130"/>
      <c r="O208" s="1130"/>
      <c r="P208" s="1130"/>
      <c r="Y208" s="1131"/>
    </row>
    <row r="209" spans="5:25">
      <c r="E209" s="1130"/>
      <c r="F209" s="1130"/>
      <c r="G209" s="1130"/>
      <c r="H209" s="1130"/>
      <c r="I209" s="1130"/>
      <c r="J209" s="1130"/>
      <c r="K209" s="1130"/>
      <c r="L209" s="1130"/>
      <c r="M209" s="1130"/>
      <c r="N209" s="1130"/>
      <c r="O209" s="1130"/>
      <c r="P209" s="1130"/>
      <c r="Y209" s="1131"/>
    </row>
    <row r="210" spans="5:25">
      <c r="E210" s="1130"/>
      <c r="F210" s="1130"/>
      <c r="G210" s="1130"/>
      <c r="H210" s="1130"/>
      <c r="I210" s="1130"/>
      <c r="J210" s="1130"/>
      <c r="K210" s="1130"/>
      <c r="L210" s="1130"/>
      <c r="M210" s="1130"/>
      <c r="N210" s="1130"/>
      <c r="O210" s="1130"/>
      <c r="P210" s="1130"/>
      <c r="Y210" s="1131"/>
    </row>
    <row r="211" spans="5:25">
      <c r="E211" s="1130"/>
      <c r="F211" s="1130"/>
      <c r="G211" s="1130"/>
      <c r="H211" s="1130"/>
      <c r="I211" s="1130"/>
      <c r="J211" s="1130"/>
      <c r="K211" s="1130"/>
      <c r="L211" s="1130"/>
      <c r="M211" s="1130"/>
      <c r="N211" s="1130"/>
      <c r="O211" s="1130"/>
      <c r="P211" s="1130"/>
      <c r="Y211" s="1131"/>
    </row>
    <row r="212" spans="5:25">
      <c r="E212" s="1130"/>
      <c r="F212" s="1130"/>
      <c r="G212" s="1130"/>
      <c r="H212" s="1130"/>
      <c r="I212" s="1130"/>
      <c r="J212" s="1130"/>
      <c r="K212" s="1130"/>
      <c r="L212" s="1130"/>
      <c r="M212" s="1130"/>
      <c r="N212" s="1130"/>
      <c r="O212" s="1130"/>
      <c r="P212" s="1130"/>
      <c r="Y212" s="1131"/>
    </row>
    <row r="213" spans="5:25">
      <c r="E213" s="1130"/>
      <c r="F213" s="1130"/>
      <c r="G213" s="1130"/>
      <c r="H213" s="1130"/>
      <c r="I213" s="1130"/>
      <c r="J213" s="1130"/>
      <c r="K213" s="1130"/>
      <c r="L213" s="1130"/>
      <c r="M213" s="1130"/>
      <c r="N213" s="1130"/>
      <c r="O213" s="1130"/>
      <c r="P213" s="1130"/>
      <c r="Y213" s="1131"/>
    </row>
    <row r="214" spans="5:25">
      <c r="E214" s="1130"/>
      <c r="F214" s="1130"/>
      <c r="G214" s="1130"/>
      <c r="H214" s="1130"/>
      <c r="I214" s="1130"/>
      <c r="J214" s="1130"/>
      <c r="K214" s="1130"/>
      <c r="L214" s="1130"/>
      <c r="M214" s="1130"/>
      <c r="N214" s="1130"/>
      <c r="O214" s="1130"/>
      <c r="P214" s="1130"/>
      <c r="Y214" s="1131"/>
    </row>
    <row r="215" spans="5:25">
      <c r="E215" s="1130"/>
      <c r="F215" s="1130"/>
      <c r="G215" s="1130"/>
      <c r="H215" s="1130"/>
      <c r="I215" s="1130"/>
      <c r="J215" s="1130"/>
      <c r="K215" s="1130"/>
      <c r="L215" s="1130"/>
      <c r="M215" s="1130"/>
      <c r="N215" s="1130"/>
      <c r="O215" s="1130"/>
      <c r="P215" s="1130"/>
      <c r="Y215" s="1131"/>
    </row>
    <row r="216" spans="5:25">
      <c r="E216" s="1130"/>
      <c r="F216" s="1130"/>
      <c r="G216" s="1130"/>
      <c r="H216" s="1130"/>
      <c r="I216" s="1130"/>
      <c r="J216" s="1130"/>
      <c r="K216" s="1130"/>
      <c r="L216" s="1130"/>
      <c r="M216" s="1130"/>
      <c r="N216" s="1130"/>
      <c r="O216" s="1130"/>
      <c r="P216" s="1130"/>
      <c r="Y216" s="1131"/>
    </row>
    <row r="217" spans="5:25">
      <c r="E217" s="1130"/>
      <c r="F217" s="1130"/>
      <c r="G217" s="1130"/>
      <c r="H217" s="1130"/>
      <c r="I217" s="1130"/>
      <c r="J217" s="1130"/>
      <c r="K217" s="1130"/>
      <c r="L217" s="1130"/>
      <c r="M217" s="1130"/>
      <c r="N217" s="1130"/>
      <c r="O217" s="1130"/>
      <c r="P217" s="1130"/>
      <c r="Y217" s="1131"/>
    </row>
    <row r="218" spans="5:25">
      <c r="E218" s="1130"/>
      <c r="F218" s="1130"/>
      <c r="G218" s="1130"/>
      <c r="H218" s="1130"/>
      <c r="I218" s="1130"/>
      <c r="J218" s="1130"/>
      <c r="K218" s="1130"/>
      <c r="L218" s="1130"/>
      <c r="M218" s="1130"/>
      <c r="N218" s="1130"/>
      <c r="O218" s="1130"/>
      <c r="P218" s="1130"/>
      <c r="Y218" s="1131"/>
    </row>
    <row r="219" spans="5:25">
      <c r="E219" s="1130"/>
      <c r="F219" s="1130"/>
      <c r="G219" s="1130"/>
      <c r="H219" s="1130"/>
      <c r="I219" s="1130"/>
      <c r="J219" s="1130"/>
      <c r="K219" s="1130"/>
      <c r="L219" s="1130"/>
      <c r="M219" s="1130"/>
      <c r="N219" s="1130"/>
      <c r="O219" s="1130"/>
      <c r="P219" s="1130"/>
      <c r="Y219" s="1131"/>
    </row>
    <row r="220" spans="5:25">
      <c r="E220" s="1130"/>
      <c r="F220" s="1130"/>
      <c r="G220" s="1130"/>
      <c r="H220" s="1130"/>
      <c r="I220" s="1130"/>
      <c r="J220" s="1130"/>
      <c r="K220" s="1130"/>
      <c r="L220" s="1130"/>
      <c r="M220" s="1130"/>
      <c r="N220" s="1130"/>
      <c r="O220" s="1130"/>
      <c r="P220" s="1130"/>
      <c r="Y220" s="1131"/>
    </row>
    <row r="221" spans="5:25">
      <c r="E221" s="1130"/>
      <c r="F221" s="1130"/>
      <c r="G221" s="1130"/>
      <c r="H221" s="1130"/>
      <c r="I221" s="1130"/>
      <c r="J221" s="1130"/>
      <c r="K221" s="1130"/>
      <c r="L221" s="1130"/>
      <c r="M221" s="1130"/>
      <c r="N221" s="1130"/>
      <c r="O221" s="1130"/>
      <c r="P221" s="1130"/>
      <c r="Y221" s="1131"/>
    </row>
    <row r="222" spans="5:25">
      <c r="E222" s="1130"/>
      <c r="F222" s="1130"/>
      <c r="G222" s="1130"/>
      <c r="H222" s="1130"/>
      <c r="I222" s="1130"/>
      <c r="J222" s="1130"/>
      <c r="K222" s="1130"/>
      <c r="L222" s="1130"/>
      <c r="M222" s="1130"/>
      <c r="N222" s="1130"/>
      <c r="O222" s="1130"/>
      <c r="P222" s="1130"/>
      <c r="Y222" s="1131"/>
    </row>
    <row r="223" spans="5:25">
      <c r="E223" s="1130"/>
      <c r="F223" s="1130"/>
      <c r="G223" s="1130"/>
      <c r="H223" s="1130"/>
      <c r="I223" s="1130"/>
      <c r="J223" s="1130"/>
      <c r="K223" s="1130"/>
      <c r="L223" s="1130"/>
      <c r="M223" s="1130"/>
      <c r="N223" s="1130"/>
      <c r="O223" s="1130"/>
      <c r="P223" s="1130"/>
      <c r="Y223" s="1131"/>
    </row>
    <row r="224" spans="5:25">
      <c r="E224" s="1130"/>
      <c r="F224" s="1130"/>
      <c r="G224" s="1130"/>
      <c r="H224" s="1130"/>
      <c r="I224" s="1130"/>
      <c r="J224" s="1130"/>
      <c r="K224" s="1130"/>
      <c r="L224" s="1130"/>
      <c r="M224" s="1130"/>
      <c r="N224" s="1130"/>
      <c r="O224" s="1130"/>
      <c r="P224" s="1130"/>
      <c r="Y224" s="1131"/>
    </row>
    <row r="225" spans="5:25">
      <c r="E225" s="1130"/>
      <c r="F225" s="1130"/>
      <c r="G225" s="1130"/>
      <c r="H225" s="1130"/>
      <c r="I225" s="1130"/>
      <c r="J225" s="1130"/>
      <c r="K225" s="1130"/>
      <c r="L225" s="1130"/>
      <c r="M225" s="1130"/>
      <c r="N225" s="1130"/>
      <c r="O225" s="1130"/>
      <c r="P225" s="1130"/>
      <c r="Y225" s="1131"/>
    </row>
    <row r="226" spans="5:25">
      <c r="E226" s="1130"/>
      <c r="F226" s="1130"/>
      <c r="G226" s="1130"/>
      <c r="H226" s="1130"/>
      <c r="I226" s="1130"/>
      <c r="J226" s="1130"/>
      <c r="K226" s="1130"/>
      <c r="L226" s="1130"/>
      <c r="M226" s="1130"/>
      <c r="N226" s="1130"/>
      <c r="O226" s="1130"/>
      <c r="P226" s="1130"/>
      <c r="Y226" s="1131"/>
    </row>
    <row r="227" spans="5:25">
      <c r="E227" s="1130"/>
      <c r="F227" s="1130"/>
      <c r="G227" s="1130"/>
      <c r="H227" s="1130"/>
      <c r="I227" s="1130"/>
      <c r="J227" s="1130"/>
      <c r="K227" s="1130"/>
      <c r="L227" s="1130"/>
      <c r="M227" s="1130"/>
      <c r="N227" s="1130"/>
      <c r="O227" s="1130"/>
      <c r="P227" s="1130"/>
      <c r="Y227" s="1131"/>
    </row>
    <row r="228" spans="5:25">
      <c r="E228" s="1130"/>
      <c r="F228" s="1130"/>
      <c r="G228" s="1130"/>
      <c r="H228" s="1130"/>
      <c r="I228" s="1130"/>
      <c r="J228" s="1130"/>
      <c r="K228" s="1130"/>
      <c r="L228" s="1130"/>
      <c r="M228" s="1130"/>
      <c r="N228" s="1130"/>
      <c r="O228" s="1130"/>
      <c r="P228" s="1130"/>
      <c r="Y228" s="1131"/>
    </row>
    <row r="229" spans="5:25">
      <c r="E229" s="1130"/>
      <c r="F229" s="1130"/>
      <c r="G229" s="1130"/>
      <c r="H229" s="1130"/>
      <c r="I229" s="1130"/>
      <c r="J229" s="1130"/>
      <c r="K229" s="1130"/>
      <c r="L229" s="1130"/>
      <c r="M229" s="1130"/>
      <c r="N229" s="1130"/>
      <c r="O229" s="1130"/>
      <c r="P229" s="1130"/>
      <c r="Y229" s="1131"/>
    </row>
    <row r="230" spans="5:25">
      <c r="E230" s="1130"/>
      <c r="F230" s="1130"/>
      <c r="G230" s="1130"/>
      <c r="H230" s="1130"/>
      <c r="I230" s="1130"/>
      <c r="J230" s="1130"/>
      <c r="K230" s="1130"/>
      <c r="L230" s="1130"/>
      <c r="M230" s="1130"/>
      <c r="N230" s="1130"/>
      <c r="O230" s="1130"/>
      <c r="P230" s="1130"/>
      <c r="Y230" s="1131"/>
    </row>
    <row r="231" spans="5:25">
      <c r="E231" s="1130"/>
      <c r="F231" s="1130"/>
      <c r="G231" s="1130"/>
      <c r="H231" s="1130"/>
      <c r="I231" s="1130"/>
      <c r="J231" s="1130"/>
      <c r="K231" s="1130"/>
      <c r="L231" s="1130"/>
      <c r="M231" s="1130"/>
      <c r="N231" s="1130"/>
      <c r="O231" s="1130"/>
      <c r="P231" s="1130"/>
      <c r="Y231" s="1131"/>
    </row>
    <row r="232" spans="5:25">
      <c r="E232" s="1130"/>
      <c r="F232" s="1130"/>
      <c r="G232" s="1130"/>
      <c r="H232" s="1130"/>
      <c r="I232" s="1130"/>
      <c r="J232" s="1130"/>
      <c r="K232" s="1130"/>
      <c r="L232" s="1130"/>
      <c r="M232" s="1130"/>
      <c r="N232" s="1130"/>
      <c r="O232" s="1130"/>
      <c r="P232" s="1130"/>
      <c r="Y232" s="1131"/>
    </row>
    <row r="233" spans="5:25">
      <c r="E233" s="1130"/>
      <c r="F233" s="1130"/>
      <c r="G233" s="1130"/>
      <c r="H233" s="1130"/>
      <c r="I233" s="1130"/>
      <c r="J233" s="1130"/>
      <c r="K233" s="1130"/>
      <c r="L233" s="1130"/>
      <c r="M233" s="1130"/>
      <c r="N233" s="1130"/>
      <c r="O233" s="1130"/>
      <c r="P233" s="1130"/>
      <c r="Y233" s="1131"/>
    </row>
    <row r="234" spans="5:25">
      <c r="E234" s="1130"/>
      <c r="F234" s="1130"/>
      <c r="G234" s="1130"/>
      <c r="H234" s="1130"/>
      <c r="I234" s="1130"/>
      <c r="J234" s="1130"/>
      <c r="K234" s="1130"/>
      <c r="L234" s="1130"/>
      <c r="M234" s="1130"/>
      <c r="N234" s="1130"/>
      <c r="O234" s="1130"/>
      <c r="P234" s="1130"/>
      <c r="Y234" s="1131"/>
    </row>
    <row r="235" spans="5:25">
      <c r="E235" s="1130"/>
      <c r="F235" s="1130"/>
      <c r="G235" s="1130"/>
      <c r="H235" s="1130"/>
      <c r="I235" s="1130"/>
      <c r="J235" s="1130"/>
      <c r="K235" s="1130"/>
      <c r="L235" s="1130"/>
      <c r="M235" s="1130"/>
      <c r="N235" s="1130"/>
      <c r="O235" s="1130"/>
      <c r="P235" s="1130"/>
      <c r="Y235" s="1131"/>
    </row>
    <row r="236" spans="5:25">
      <c r="E236" s="1130"/>
      <c r="F236" s="1130"/>
      <c r="G236" s="1130"/>
      <c r="H236" s="1130"/>
      <c r="I236" s="1130"/>
      <c r="J236" s="1130"/>
      <c r="K236" s="1130"/>
      <c r="L236" s="1130"/>
      <c r="M236" s="1130"/>
      <c r="N236" s="1130"/>
      <c r="O236" s="1130"/>
      <c r="P236" s="1130"/>
      <c r="Y236" s="1131"/>
    </row>
    <row r="237" spans="5:25">
      <c r="E237" s="1130"/>
      <c r="F237" s="1130"/>
      <c r="G237" s="1130"/>
      <c r="H237" s="1130"/>
      <c r="I237" s="1130"/>
      <c r="J237" s="1130"/>
      <c r="K237" s="1130"/>
      <c r="L237" s="1130"/>
      <c r="M237" s="1130"/>
      <c r="N237" s="1130"/>
      <c r="O237" s="1130"/>
      <c r="P237" s="1130"/>
      <c r="Y237" s="1131"/>
    </row>
    <row r="238" spans="5:25">
      <c r="E238" s="1130"/>
      <c r="F238" s="1130"/>
      <c r="G238" s="1130"/>
      <c r="H238" s="1130"/>
      <c r="I238" s="1130"/>
      <c r="J238" s="1130"/>
      <c r="K238" s="1130"/>
      <c r="L238" s="1130"/>
      <c r="M238" s="1130"/>
      <c r="N238" s="1130"/>
      <c r="O238" s="1130"/>
      <c r="P238" s="1130"/>
      <c r="Y238" s="1131"/>
    </row>
    <row r="239" spans="5:25">
      <c r="E239" s="1130"/>
      <c r="F239" s="1130"/>
      <c r="G239" s="1130"/>
      <c r="H239" s="1130"/>
      <c r="I239" s="1130"/>
      <c r="J239" s="1130"/>
      <c r="K239" s="1130"/>
      <c r="L239" s="1130"/>
      <c r="M239" s="1130"/>
      <c r="N239" s="1130"/>
      <c r="O239" s="1130"/>
      <c r="P239" s="1130"/>
      <c r="Y239" s="1131"/>
    </row>
    <row r="240" spans="5:25">
      <c r="E240" s="1130"/>
      <c r="F240" s="1130"/>
      <c r="G240" s="1130"/>
      <c r="H240" s="1130"/>
      <c r="I240" s="1130"/>
      <c r="J240" s="1130"/>
      <c r="K240" s="1130"/>
      <c r="L240" s="1130"/>
      <c r="M240" s="1130"/>
      <c r="N240" s="1130"/>
      <c r="O240" s="1130"/>
      <c r="P240" s="1130"/>
      <c r="Y240" s="1131"/>
    </row>
    <row r="241" spans="5:25">
      <c r="E241" s="1130"/>
      <c r="F241" s="1130"/>
      <c r="G241" s="1130"/>
      <c r="H241" s="1130"/>
      <c r="I241" s="1130"/>
      <c r="J241" s="1130"/>
      <c r="K241" s="1130"/>
      <c r="L241" s="1130"/>
      <c r="M241" s="1130"/>
      <c r="N241" s="1130"/>
      <c r="O241" s="1130"/>
      <c r="P241" s="1130"/>
      <c r="Y241" s="1131"/>
    </row>
    <row r="242" spans="5:25">
      <c r="E242" s="1130"/>
      <c r="F242" s="1130"/>
      <c r="G242" s="1130"/>
      <c r="H242" s="1130"/>
      <c r="I242" s="1130"/>
      <c r="J242" s="1130"/>
      <c r="K242" s="1130"/>
      <c r="L242" s="1130"/>
      <c r="M242" s="1130"/>
      <c r="N242" s="1130"/>
      <c r="O242" s="1130"/>
      <c r="P242" s="1130"/>
      <c r="Y242" s="1131"/>
    </row>
    <row r="243" spans="5:25">
      <c r="E243" s="1130"/>
      <c r="F243" s="1130"/>
      <c r="G243" s="1130"/>
      <c r="H243" s="1130"/>
      <c r="I243" s="1130"/>
      <c r="J243" s="1130"/>
      <c r="K243" s="1130"/>
      <c r="L243" s="1130"/>
      <c r="M243" s="1130"/>
      <c r="N243" s="1130"/>
      <c r="O243" s="1130"/>
      <c r="P243" s="1130"/>
      <c r="Y243" s="1131"/>
    </row>
    <row r="244" spans="5:25">
      <c r="E244" s="1130"/>
      <c r="F244" s="1130"/>
      <c r="G244" s="1130"/>
      <c r="H244" s="1130"/>
      <c r="I244" s="1130"/>
      <c r="J244" s="1130"/>
      <c r="K244" s="1130"/>
      <c r="L244" s="1130"/>
      <c r="M244" s="1130"/>
      <c r="N244" s="1130"/>
      <c r="O244" s="1130"/>
      <c r="P244" s="1130"/>
      <c r="Y244" s="1131"/>
    </row>
    <row r="245" spans="5:25">
      <c r="E245" s="1130"/>
      <c r="F245" s="1130"/>
      <c r="G245" s="1130"/>
      <c r="H245" s="1130"/>
      <c r="I245" s="1130"/>
      <c r="J245" s="1130"/>
      <c r="K245" s="1130"/>
      <c r="L245" s="1130"/>
      <c r="M245" s="1130"/>
      <c r="N245" s="1130"/>
      <c r="O245" s="1130"/>
      <c r="P245" s="1130"/>
      <c r="Y245" s="1131"/>
    </row>
    <row r="246" spans="5:25">
      <c r="E246" s="1130"/>
      <c r="F246" s="1130"/>
      <c r="G246" s="1130"/>
      <c r="H246" s="1130"/>
      <c r="I246" s="1130"/>
      <c r="J246" s="1130"/>
      <c r="K246" s="1130"/>
      <c r="L246" s="1130"/>
      <c r="M246" s="1130"/>
      <c r="N246" s="1130"/>
      <c r="O246" s="1130"/>
      <c r="P246" s="1130"/>
      <c r="Y246" s="1131"/>
    </row>
    <row r="247" spans="5:25">
      <c r="E247" s="1130"/>
      <c r="F247" s="1130"/>
      <c r="G247" s="1130"/>
      <c r="H247" s="1130"/>
      <c r="I247" s="1130"/>
      <c r="J247" s="1130"/>
      <c r="K247" s="1130"/>
      <c r="L247" s="1130"/>
      <c r="M247" s="1130"/>
      <c r="N247" s="1130"/>
      <c r="O247" s="1130"/>
      <c r="P247" s="1130"/>
      <c r="Y247" s="1131"/>
    </row>
    <row r="248" spans="5:25">
      <c r="E248" s="1130"/>
      <c r="F248" s="1130"/>
      <c r="G248" s="1130"/>
      <c r="H248" s="1130"/>
      <c r="I248" s="1130"/>
      <c r="J248" s="1130"/>
      <c r="K248" s="1130"/>
      <c r="L248" s="1130"/>
      <c r="M248" s="1130"/>
      <c r="N248" s="1130"/>
      <c r="O248" s="1130"/>
      <c r="P248" s="1130"/>
      <c r="Y248" s="1131"/>
    </row>
    <row r="249" spans="5:25">
      <c r="E249" s="1130"/>
      <c r="F249" s="1130"/>
      <c r="G249" s="1130"/>
      <c r="H249" s="1130"/>
      <c r="I249" s="1130"/>
      <c r="J249" s="1130"/>
      <c r="K249" s="1130"/>
      <c r="L249" s="1130"/>
      <c r="M249" s="1130"/>
      <c r="N249" s="1130"/>
      <c r="O249" s="1130"/>
      <c r="P249" s="1130"/>
      <c r="Y249" s="1131"/>
    </row>
    <row r="250" spans="5:25">
      <c r="E250" s="1130"/>
      <c r="F250" s="1130"/>
      <c r="G250" s="1130"/>
      <c r="H250" s="1130"/>
      <c r="I250" s="1130"/>
      <c r="J250" s="1130"/>
      <c r="K250" s="1130"/>
      <c r="L250" s="1130"/>
      <c r="M250" s="1130"/>
      <c r="N250" s="1130"/>
      <c r="O250" s="1130"/>
      <c r="P250" s="1130"/>
      <c r="Y250" s="1131"/>
    </row>
    <row r="251" spans="5:25">
      <c r="E251" s="1130"/>
      <c r="F251" s="1130"/>
      <c r="G251" s="1130"/>
      <c r="H251" s="1130"/>
      <c r="I251" s="1130"/>
      <c r="J251" s="1130"/>
      <c r="K251" s="1130"/>
      <c r="L251" s="1130"/>
      <c r="M251" s="1130"/>
      <c r="N251" s="1130"/>
      <c r="O251" s="1130"/>
      <c r="P251" s="1130"/>
      <c r="Y251" s="1131"/>
    </row>
    <row r="252" spans="5:25">
      <c r="E252" s="1130"/>
      <c r="F252" s="1130"/>
      <c r="G252" s="1130"/>
      <c r="H252" s="1130"/>
      <c r="I252" s="1130"/>
      <c r="J252" s="1130"/>
      <c r="K252" s="1130"/>
      <c r="L252" s="1130"/>
      <c r="M252" s="1130"/>
      <c r="N252" s="1130"/>
      <c r="O252" s="1130"/>
      <c r="P252" s="1130"/>
      <c r="Y252" s="1131"/>
    </row>
    <row r="253" spans="5:25">
      <c r="E253" s="1130"/>
      <c r="F253" s="1130"/>
      <c r="G253" s="1130"/>
      <c r="H253" s="1130"/>
      <c r="I253" s="1130"/>
      <c r="J253" s="1130"/>
      <c r="K253" s="1130"/>
      <c r="L253" s="1130"/>
      <c r="M253" s="1130"/>
      <c r="N253" s="1130"/>
      <c r="O253" s="1130"/>
      <c r="P253" s="1130"/>
      <c r="Y253" s="1131"/>
    </row>
    <row r="254" spans="5:25">
      <c r="E254" s="1130"/>
      <c r="F254" s="1130"/>
      <c r="G254" s="1130"/>
      <c r="H254" s="1130"/>
      <c r="I254" s="1130"/>
      <c r="J254" s="1130"/>
      <c r="K254" s="1130"/>
      <c r="L254" s="1130"/>
      <c r="M254" s="1130"/>
      <c r="N254" s="1130"/>
      <c r="O254" s="1130"/>
      <c r="P254" s="1130"/>
      <c r="Y254" s="1131"/>
    </row>
    <row r="255" spans="5:25">
      <c r="E255" s="1130"/>
      <c r="F255" s="1130"/>
      <c r="G255" s="1130"/>
      <c r="H255" s="1130"/>
      <c r="I255" s="1130"/>
      <c r="J255" s="1130"/>
      <c r="K255" s="1130"/>
      <c r="L255" s="1130"/>
      <c r="M255" s="1130"/>
      <c r="N255" s="1130"/>
      <c r="O255" s="1130"/>
      <c r="P255" s="1130"/>
      <c r="Y255" s="1131"/>
    </row>
    <row r="256" spans="5:25">
      <c r="E256" s="1130"/>
      <c r="F256" s="1130"/>
      <c r="G256" s="1130"/>
      <c r="H256" s="1130"/>
      <c r="I256" s="1130"/>
      <c r="J256" s="1130"/>
      <c r="K256" s="1130"/>
      <c r="L256" s="1130"/>
      <c r="M256" s="1130"/>
      <c r="N256" s="1130"/>
      <c r="O256" s="1130"/>
      <c r="P256" s="1130"/>
      <c r="Y256" s="1131"/>
    </row>
    <row r="257" spans="5:25">
      <c r="E257" s="1130"/>
      <c r="F257" s="1130"/>
      <c r="G257" s="1130"/>
      <c r="H257" s="1130"/>
      <c r="I257" s="1130"/>
      <c r="J257" s="1130"/>
      <c r="K257" s="1130"/>
      <c r="L257" s="1130"/>
      <c r="M257" s="1130"/>
      <c r="N257" s="1130"/>
      <c r="O257" s="1130"/>
      <c r="P257" s="1130"/>
      <c r="Y257" s="1131"/>
    </row>
    <row r="258" spans="5:25">
      <c r="E258" s="1130"/>
      <c r="F258" s="1130"/>
      <c r="G258" s="1130"/>
      <c r="H258" s="1130"/>
      <c r="I258" s="1130"/>
      <c r="J258" s="1130"/>
      <c r="K258" s="1130"/>
      <c r="L258" s="1130"/>
      <c r="M258" s="1130"/>
      <c r="N258" s="1130"/>
      <c r="O258" s="1130"/>
      <c r="P258" s="1130"/>
      <c r="Y258" s="1131"/>
    </row>
    <row r="259" spans="5:25">
      <c r="E259" s="1130"/>
      <c r="F259" s="1130"/>
      <c r="G259" s="1130"/>
      <c r="H259" s="1130"/>
      <c r="I259" s="1130"/>
      <c r="J259" s="1130"/>
      <c r="K259" s="1130"/>
      <c r="L259" s="1130"/>
      <c r="M259" s="1130"/>
      <c r="N259" s="1130"/>
      <c r="O259" s="1130"/>
      <c r="P259" s="1130"/>
      <c r="Y259" s="1131"/>
    </row>
    <row r="260" spans="5:25">
      <c r="E260" s="1130"/>
      <c r="F260" s="1130"/>
      <c r="G260" s="1130"/>
      <c r="H260" s="1130"/>
      <c r="I260" s="1130"/>
      <c r="J260" s="1130"/>
      <c r="K260" s="1130"/>
      <c r="L260" s="1130"/>
      <c r="M260" s="1130"/>
      <c r="N260" s="1130"/>
      <c r="O260" s="1130"/>
      <c r="P260" s="1130"/>
      <c r="Y260" s="1131"/>
    </row>
    <row r="261" spans="5:25">
      <c r="E261" s="1130"/>
      <c r="F261" s="1130"/>
      <c r="G261" s="1130"/>
      <c r="H261" s="1130"/>
      <c r="I261" s="1130"/>
      <c r="J261" s="1130"/>
      <c r="K261" s="1130"/>
      <c r="L261" s="1130"/>
      <c r="M261" s="1130"/>
      <c r="N261" s="1130"/>
      <c r="O261" s="1130"/>
      <c r="P261" s="1130"/>
      <c r="Y261" s="1131"/>
    </row>
    <row r="262" spans="5:25">
      <c r="E262" s="1130"/>
      <c r="F262" s="1130"/>
      <c r="G262" s="1130"/>
      <c r="H262" s="1130"/>
      <c r="I262" s="1130"/>
      <c r="J262" s="1130"/>
      <c r="K262" s="1130"/>
      <c r="L262" s="1130"/>
      <c r="M262" s="1130"/>
      <c r="N262" s="1130"/>
      <c r="O262" s="1130"/>
      <c r="P262" s="1130"/>
      <c r="Y262" s="1131"/>
    </row>
    <row r="263" spans="5:25">
      <c r="E263" s="1130"/>
      <c r="F263" s="1130"/>
      <c r="G263" s="1130"/>
      <c r="H263" s="1130"/>
      <c r="I263" s="1130"/>
      <c r="J263" s="1130"/>
      <c r="K263" s="1130"/>
      <c r="L263" s="1130"/>
      <c r="M263" s="1130"/>
      <c r="N263" s="1130"/>
      <c r="O263" s="1130"/>
      <c r="P263" s="1130"/>
      <c r="Y263" s="1131"/>
    </row>
    <row r="264" spans="5:25">
      <c r="E264" s="1130"/>
      <c r="F264" s="1130"/>
      <c r="G264" s="1130"/>
      <c r="H264" s="1130"/>
      <c r="I264" s="1130"/>
      <c r="J264" s="1130"/>
      <c r="K264" s="1130"/>
      <c r="L264" s="1130"/>
      <c r="M264" s="1130"/>
      <c r="N264" s="1130"/>
      <c r="O264" s="1130"/>
      <c r="P264" s="1130"/>
      <c r="Y264" s="1131"/>
    </row>
    <row r="265" spans="5:25">
      <c r="E265" s="1130"/>
      <c r="F265" s="1130"/>
      <c r="G265" s="1130"/>
      <c r="H265" s="1130"/>
      <c r="I265" s="1130"/>
      <c r="J265" s="1130"/>
      <c r="K265" s="1130"/>
      <c r="L265" s="1130"/>
      <c r="M265" s="1130"/>
      <c r="N265" s="1130"/>
      <c r="O265" s="1130"/>
      <c r="P265" s="1130"/>
      <c r="Y265" s="1131"/>
    </row>
    <row r="266" spans="5:25">
      <c r="E266" s="1130"/>
      <c r="F266" s="1130"/>
      <c r="G266" s="1130"/>
      <c r="H266" s="1130"/>
      <c r="I266" s="1130"/>
      <c r="J266" s="1130"/>
      <c r="K266" s="1130"/>
      <c r="L266" s="1130"/>
      <c r="M266" s="1130"/>
      <c r="N266" s="1130"/>
      <c r="O266" s="1130"/>
      <c r="P266" s="1130"/>
      <c r="Y266" s="1131"/>
    </row>
    <row r="267" spans="5:25">
      <c r="E267" s="1130"/>
      <c r="F267" s="1130"/>
      <c r="G267" s="1130"/>
      <c r="H267" s="1130"/>
      <c r="I267" s="1130"/>
      <c r="J267" s="1130"/>
      <c r="K267" s="1130"/>
      <c r="L267" s="1130"/>
      <c r="M267" s="1130"/>
      <c r="N267" s="1130"/>
      <c r="O267" s="1130"/>
      <c r="P267" s="1130"/>
      <c r="Y267" s="1131"/>
    </row>
    <row r="268" spans="5:25">
      <c r="E268" s="1130"/>
      <c r="F268" s="1130"/>
      <c r="G268" s="1130"/>
      <c r="H268" s="1130"/>
      <c r="I268" s="1130"/>
      <c r="J268" s="1130"/>
      <c r="K268" s="1130"/>
      <c r="L268" s="1130"/>
      <c r="M268" s="1130"/>
      <c r="N268" s="1130"/>
      <c r="O268" s="1130"/>
      <c r="P268" s="1130"/>
      <c r="Y268" s="1131"/>
    </row>
    <row r="269" spans="5:25">
      <c r="E269" s="1130"/>
      <c r="F269" s="1130"/>
      <c r="G269" s="1130"/>
      <c r="H269" s="1130"/>
      <c r="I269" s="1130"/>
      <c r="J269" s="1130"/>
      <c r="K269" s="1130"/>
      <c r="L269" s="1130"/>
      <c r="M269" s="1130"/>
      <c r="N269" s="1130"/>
      <c r="O269" s="1130"/>
      <c r="P269" s="1130"/>
      <c r="Y269" s="1131"/>
    </row>
    <row r="270" spans="5:25">
      <c r="E270" s="1130"/>
      <c r="F270" s="1130"/>
      <c r="G270" s="1130"/>
      <c r="H270" s="1130"/>
      <c r="I270" s="1130"/>
      <c r="J270" s="1130"/>
      <c r="K270" s="1130"/>
      <c r="L270" s="1130"/>
      <c r="M270" s="1130"/>
      <c r="N270" s="1130"/>
      <c r="O270" s="1130"/>
      <c r="P270" s="1130"/>
      <c r="Y270" s="1131"/>
    </row>
    <row r="271" spans="5:25">
      <c r="E271" s="1130"/>
      <c r="F271" s="1130"/>
      <c r="G271" s="1130"/>
      <c r="H271" s="1130"/>
      <c r="I271" s="1130"/>
      <c r="J271" s="1130"/>
      <c r="K271" s="1130"/>
      <c r="L271" s="1130"/>
      <c r="M271" s="1130"/>
      <c r="N271" s="1130"/>
      <c r="O271" s="1130"/>
      <c r="P271" s="1130"/>
      <c r="Y271" s="1131"/>
    </row>
    <row r="272" spans="5:25">
      <c r="E272" s="1130"/>
      <c r="F272" s="1130"/>
      <c r="G272" s="1130"/>
      <c r="H272" s="1130"/>
      <c r="I272" s="1130"/>
      <c r="J272" s="1130"/>
      <c r="K272" s="1130"/>
      <c r="L272" s="1130"/>
      <c r="M272" s="1130"/>
      <c r="N272" s="1130"/>
      <c r="O272" s="1130"/>
      <c r="P272" s="1130"/>
      <c r="Y272" s="1131"/>
    </row>
    <row r="273" spans="5:25">
      <c r="E273" s="1130"/>
      <c r="F273" s="1130"/>
      <c r="G273" s="1130"/>
      <c r="H273" s="1130"/>
      <c r="I273" s="1130"/>
      <c r="J273" s="1130"/>
      <c r="K273" s="1130"/>
      <c r="L273" s="1130"/>
      <c r="M273" s="1130"/>
      <c r="N273" s="1130"/>
      <c r="O273" s="1130"/>
      <c r="P273" s="1130"/>
      <c r="Y273" s="1131"/>
    </row>
    <row r="274" spans="5:25">
      <c r="E274" s="1130"/>
      <c r="F274" s="1130"/>
      <c r="G274" s="1130"/>
      <c r="H274" s="1130"/>
      <c r="I274" s="1130"/>
      <c r="J274" s="1130"/>
      <c r="K274" s="1130"/>
      <c r="L274" s="1130"/>
      <c r="M274" s="1130"/>
      <c r="N274" s="1130"/>
      <c r="O274" s="1130"/>
      <c r="P274" s="1130"/>
      <c r="Y274" s="1131"/>
    </row>
    <row r="275" spans="5:25">
      <c r="E275" s="1130"/>
      <c r="F275" s="1130"/>
      <c r="G275" s="1130"/>
      <c r="H275" s="1130"/>
      <c r="I275" s="1130"/>
      <c r="J275" s="1130"/>
      <c r="K275" s="1130"/>
      <c r="L275" s="1130"/>
      <c r="M275" s="1130"/>
      <c r="N275" s="1130"/>
      <c r="O275" s="1130"/>
      <c r="P275" s="1130"/>
      <c r="Y275" s="1131"/>
    </row>
    <row r="276" spans="5:25">
      <c r="E276" s="1130"/>
      <c r="F276" s="1130"/>
      <c r="G276" s="1130"/>
      <c r="H276" s="1130"/>
      <c r="I276" s="1130"/>
      <c r="J276" s="1130"/>
      <c r="K276" s="1130"/>
      <c r="L276" s="1130"/>
      <c r="M276" s="1130"/>
      <c r="N276" s="1130"/>
      <c r="O276" s="1130"/>
      <c r="P276" s="1130"/>
      <c r="Y276" s="1131"/>
    </row>
    <row r="277" spans="5:25">
      <c r="E277" s="1130"/>
      <c r="F277" s="1130"/>
      <c r="G277" s="1130"/>
      <c r="H277" s="1130"/>
      <c r="I277" s="1130"/>
      <c r="J277" s="1130"/>
      <c r="K277" s="1130"/>
      <c r="L277" s="1130"/>
      <c r="M277" s="1130"/>
      <c r="N277" s="1130"/>
      <c r="O277" s="1130"/>
      <c r="P277" s="1130"/>
      <c r="Y277" s="1131"/>
    </row>
    <row r="278" spans="5:25">
      <c r="E278" s="1130"/>
      <c r="F278" s="1130"/>
      <c r="G278" s="1130"/>
      <c r="H278" s="1130"/>
      <c r="I278" s="1130"/>
      <c r="J278" s="1130"/>
      <c r="K278" s="1130"/>
      <c r="L278" s="1130"/>
      <c r="M278" s="1130"/>
      <c r="N278" s="1130"/>
      <c r="O278" s="1130"/>
      <c r="P278" s="1130"/>
      <c r="Y278" s="1131"/>
    </row>
    <row r="279" spans="5:25">
      <c r="E279" s="1130"/>
      <c r="F279" s="1130"/>
      <c r="G279" s="1130"/>
      <c r="H279" s="1130"/>
      <c r="I279" s="1130"/>
      <c r="J279" s="1130"/>
      <c r="K279" s="1130"/>
      <c r="L279" s="1130"/>
      <c r="M279" s="1130"/>
      <c r="N279" s="1130"/>
      <c r="O279" s="1130"/>
      <c r="P279" s="1130"/>
      <c r="Y279" s="1131"/>
    </row>
    <row r="280" spans="5:25">
      <c r="E280" s="1130"/>
      <c r="F280" s="1130"/>
      <c r="G280" s="1130"/>
      <c r="H280" s="1130"/>
      <c r="I280" s="1130"/>
      <c r="J280" s="1130"/>
      <c r="K280" s="1130"/>
      <c r="L280" s="1130"/>
      <c r="M280" s="1130"/>
      <c r="N280" s="1130"/>
      <c r="O280" s="1130"/>
      <c r="P280" s="1130"/>
      <c r="Y280" s="1131"/>
    </row>
    <row r="281" spans="5:25">
      <c r="E281" s="1130"/>
      <c r="F281" s="1130"/>
      <c r="G281" s="1130"/>
      <c r="H281" s="1130"/>
      <c r="I281" s="1130"/>
      <c r="J281" s="1130"/>
      <c r="K281" s="1130"/>
      <c r="L281" s="1130"/>
      <c r="M281" s="1130"/>
      <c r="N281" s="1130"/>
      <c r="O281" s="1130"/>
      <c r="P281" s="1130"/>
      <c r="Y281" s="1131"/>
    </row>
    <row r="282" spans="5:25">
      <c r="E282" s="1130"/>
      <c r="F282" s="1130"/>
      <c r="G282" s="1130"/>
      <c r="H282" s="1130"/>
      <c r="I282" s="1130"/>
      <c r="J282" s="1130"/>
      <c r="K282" s="1130"/>
      <c r="L282" s="1130"/>
      <c r="M282" s="1130"/>
      <c r="N282" s="1130"/>
      <c r="O282" s="1130"/>
      <c r="P282" s="1130"/>
      <c r="Y282" s="1131"/>
    </row>
    <row r="283" spans="5:25">
      <c r="E283" s="1130"/>
      <c r="F283" s="1130"/>
      <c r="G283" s="1130"/>
      <c r="H283" s="1130"/>
      <c r="I283" s="1130"/>
      <c r="J283" s="1130"/>
      <c r="K283" s="1130"/>
      <c r="L283" s="1130"/>
      <c r="M283" s="1130"/>
      <c r="N283" s="1130"/>
      <c r="O283" s="1130"/>
      <c r="P283" s="1130"/>
      <c r="Y283" s="1131"/>
    </row>
    <row r="284" spans="5:25">
      <c r="E284" s="1130"/>
      <c r="F284" s="1130"/>
      <c r="G284" s="1130"/>
      <c r="H284" s="1130"/>
      <c r="I284" s="1130"/>
      <c r="J284" s="1130"/>
      <c r="K284" s="1130"/>
      <c r="L284" s="1130"/>
      <c r="M284" s="1130"/>
      <c r="N284" s="1130"/>
      <c r="O284" s="1130"/>
      <c r="P284" s="1130"/>
      <c r="Y284" s="1131"/>
    </row>
    <row r="285" spans="5:25">
      <c r="E285" s="1130"/>
      <c r="F285" s="1130"/>
      <c r="G285" s="1130"/>
      <c r="H285" s="1130"/>
      <c r="I285" s="1130"/>
      <c r="J285" s="1130"/>
      <c r="K285" s="1130"/>
      <c r="L285" s="1130"/>
      <c r="M285" s="1130"/>
      <c r="N285" s="1130"/>
      <c r="O285" s="1130"/>
      <c r="P285" s="1130"/>
      <c r="Y285" s="1131"/>
    </row>
    <row r="286" spans="5:25">
      <c r="E286" s="1130"/>
      <c r="F286" s="1130"/>
      <c r="G286" s="1130"/>
      <c r="H286" s="1130"/>
      <c r="I286" s="1130"/>
      <c r="J286" s="1130"/>
      <c r="K286" s="1130"/>
      <c r="L286" s="1130"/>
      <c r="M286" s="1130"/>
      <c r="N286" s="1130"/>
      <c r="O286" s="1130"/>
      <c r="P286" s="1130"/>
      <c r="Y286" s="1131"/>
    </row>
    <row r="287" spans="5:25">
      <c r="E287" s="1130"/>
      <c r="F287" s="1130"/>
      <c r="G287" s="1130"/>
      <c r="H287" s="1130"/>
      <c r="I287" s="1130"/>
      <c r="J287" s="1130"/>
      <c r="K287" s="1130"/>
      <c r="L287" s="1130"/>
      <c r="M287" s="1130"/>
      <c r="N287" s="1130"/>
      <c r="O287" s="1130"/>
      <c r="P287" s="1130"/>
      <c r="Y287" s="1131"/>
    </row>
    <row r="288" spans="5:25">
      <c r="E288" s="1130"/>
      <c r="F288" s="1130"/>
      <c r="G288" s="1130"/>
      <c r="H288" s="1130"/>
      <c r="I288" s="1130"/>
      <c r="J288" s="1130"/>
      <c r="K288" s="1130"/>
      <c r="L288" s="1130"/>
      <c r="M288" s="1130"/>
      <c r="N288" s="1130"/>
      <c r="O288" s="1130"/>
      <c r="P288" s="1130"/>
      <c r="Y288" s="1131"/>
    </row>
    <row r="289" spans="5:25">
      <c r="E289" s="1130"/>
      <c r="F289" s="1130"/>
      <c r="G289" s="1130"/>
      <c r="H289" s="1130"/>
      <c r="I289" s="1130"/>
      <c r="J289" s="1130"/>
      <c r="K289" s="1130"/>
      <c r="L289" s="1130"/>
      <c r="M289" s="1130"/>
      <c r="N289" s="1130"/>
      <c r="O289" s="1130"/>
      <c r="P289" s="1130"/>
      <c r="Y289" s="1131"/>
    </row>
    <row r="290" spans="5:25">
      <c r="E290" s="1130"/>
      <c r="F290" s="1130"/>
      <c r="G290" s="1130"/>
      <c r="H290" s="1130"/>
      <c r="I290" s="1130"/>
      <c r="J290" s="1130"/>
      <c r="K290" s="1130"/>
      <c r="L290" s="1130"/>
      <c r="M290" s="1130"/>
      <c r="N290" s="1130"/>
      <c r="O290" s="1130"/>
      <c r="P290" s="1130"/>
      <c r="Y290" s="1131"/>
    </row>
    <row r="291" spans="5:25">
      <c r="E291" s="1130"/>
      <c r="F291" s="1130"/>
      <c r="G291" s="1130"/>
      <c r="H291" s="1130"/>
      <c r="I291" s="1130"/>
      <c r="J291" s="1130"/>
      <c r="K291" s="1130"/>
      <c r="L291" s="1130"/>
      <c r="M291" s="1130"/>
      <c r="N291" s="1130"/>
      <c r="O291" s="1130"/>
      <c r="P291" s="1130"/>
      <c r="Y291" s="1131"/>
    </row>
    <row r="292" spans="5:25">
      <c r="E292" s="1130"/>
      <c r="F292" s="1130"/>
      <c r="G292" s="1130"/>
      <c r="H292" s="1130"/>
      <c r="I292" s="1130"/>
      <c r="J292" s="1130"/>
      <c r="K292" s="1130"/>
      <c r="L292" s="1130"/>
      <c r="M292" s="1130"/>
      <c r="N292" s="1130"/>
      <c r="O292" s="1130"/>
      <c r="P292" s="1130"/>
      <c r="Y292" s="1131"/>
    </row>
    <row r="293" spans="5:25">
      <c r="E293" s="1130"/>
      <c r="F293" s="1130"/>
      <c r="G293" s="1130"/>
      <c r="H293" s="1130"/>
      <c r="I293" s="1130"/>
      <c r="J293" s="1130"/>
      <c r="K293" s="1130"/>
      <c r="L293" s="1130"/>
      <c r="M293" s="1130"/>
      <c r="N293" s="1130"/>
      <c r="O293" s="1130"/>
      <c r="P293" s="1130"/>
      <c r="Y293" s="1131"/>
    </row>
    <row r="294" spans="5:25">
      <c r="E294" s="1130"/>
      <c r="F294" s="1130"/>
      <c r="G294" s="1130"/>
      <c r="H294" s="1130"/>
      <c r="I294" s="1130"/>
      <c r="J294" s="1130"/>
      <c r="K294" s="1130"/>
      <c r="L294" s="1130"/>
      <c r="M294" s="1130"/>
      <c r="N294" s="1130"/>
      <c r="O294" s="1130"/>
      <c r="P294" s="1130"/>
      <c r="Y294" s="1131"/>
    </row>
    <row r="295" spans="5:25">
      <c r="E295" s="1130"/>
      <c r="F295" s="1130"/>
      <c r="G295" s="1130"/>
      <c r="H295" s="1130"/>
      <c r="I295" s="1130"/>
      <c r="J295" s="1130"/>
      <c r="K295" s="1130"/>
      <c r="L295" s="1130"/>
      <c r="M295" s="1130"/>
      <c r="N295" s="1130"/>
      <c r="O295" s="1130"/>
      <c r="P295" s="1130"/>
      <c r="Y295" s="1131"/>
    </row>
    <row r="296" spans="5:25">
      <c r="E296" s="1130"/>
      <c r="F296" s="1130"/>
      <c r="G296" s="1130"/>
      <c r="H296" s="1130"/>
      <c r="I296" s="1130"/>
      <c r="J296" s="1130"/>
      <c r="K296" s="1130"/>
      <c r="L296" s="1130"/>
      <c r="M296" s="1130"/>
      <c r="N296" s="1130"/>
      <c r="O296" s="1130"/>
      <c r="P296" s="1130"/>
      <c r="Y296" s="1131"/>
    </row>
    <row r="297" spans="5:25">
      <c r="E297" s="1130"/>
      <c r="F297" s="1130"/>
      <c r="G297" s="1130"/>
      <c r="H297" s="1130"/>
      <c r="I297" s="1130"/>
      <c r="J297" s="1130"/>
      <c r="K297" s="1130"/>
      <c r="L297" s="1130"/>
      <c r="M297" s="1130"/>
      <c r="N297" s="1130"/>
      <c r="O297" s="1130"/>
      <c r="P297" s="1130"/>
      <c r="Y297" s="1131"/>
    </row>
    <row r="298" spans="5:25">
      <c r="E298" s="1130"/>
      <c r="F298" s="1130"/>
      <c r="G298" s="1130"/>
      <c r="H298" s="1130"/>
      <c r="I298" s="1130"/>
      <c r="J298" s="1130"/>
      <c r="K298" s="1130"/>
      <c r="L298" s="1130"/>
      <c r="M298" s="1130"/>
      <c r="N298" s="1130"/>
      <c r="O298" s="1130"/>
      <c r="P298" s="1130"/>
      <c r="Y298" s="1131"/>
    </row>
    <row r="299" spans="5:25">
      <c r="E299" s="1130"/>
      <c r="F299" s="1130"/>
      <c r="G299" s="1130"/>
      <c r="H299" s="1130"/>
      <c r="I299" s="1130"/>
      <c r="J299" s="1130"/>
      <c r="K299" s="1130"/>
      <c r="L299" s="1130"/>
      <c r="M299" s="1130"/>
      <c r="N299" s="1130"/>
      <c r="O299" s="1130"/>
      <c r="P299" s="1130"/>
      <c r="Y299" s="1131"/>
    </row>
    <row r="300" spans="5:25">
      <c r="E300" s="1130"/>
      <c r="F300" s="1130"/>
      <c r="G300" s="1130"/>
      <c r="H300" s="1130"/>
      <c r="I300" s="1130"/>
      <c r="J300" s="1130"/>
      <c r="K300" s="1130"/>
      <c r="L300" s="1130"/>
      <c r="M300" s="1130"/>
      <c r="N300" s="1130"/>
      <c r="O300" s="1130"/>
      <c r="P300" s="1130"/>
      <c r="Y300" s="1131"/>
    </row>
    <row r="301" spans="5:25">
      <c r="E301" s="1130"/>
      <c r="F301" s="1130"/>
      <c r="G301" s="1130"/>
      <c r="H301" s="1130"/>
      <c r="I301" s="1130"/>
      <c r="J301" s="1130"/>
      <c r="K301" s="1130"/>
      <c r="L301" s="1130"/>
      <c r="M301" s="1130"/>
      <c r="N301" s="1130"/>
      <c r="O301" s="1130"/>
      <c r="P301" s="1130"/>
      <c r="Y301" s="1131"/>
    </row>
    <row r="302" spans="5:25">
      <c r="E302" s="1130"/>
      <c r="F302" s="1130"/>
      <c r="G302" s="1130"/>
      <c r="H302" s="1130"/>
      <c r="I302" s="1130"/>
      <c r="J302" s="1130"/>
      <c r="K302" s="1130"/>
      <c r="L302" s="1130"/>
      <c r="M302" s="1130"/>
      <c r="N302" s="1130"/>
      <c r="O302" s="1130"/>
      <c r="P302" s="1130"/>
      <c r="Y302" s="1131"/>
    </row>
    <row r="303" spans="5:25">
      <c r="E303" s="1130"/>
      <c r="F303" s="1130"/>
      <c r="G303" s="1130"/>
      <c r="H303" s="1130"/>
      <c r="I303" s="1130"/>
      <c r="J303" s="1130"/>
      <c r="K303" s="1130"/>
      <c r="L303" s="1130"/>
      <c r="M303" s="1130"/>
      <c r="N303" s="1130"/>
      <c r="O303" s="1130"/>
      <c r="P303" s="1130"/>
      <c r="Y303" s="1131"/>
    </row>
    <row r="304" spans="5:25">
      <c r="E304" s="1130"/>
      <c r="F304" s="1130"/>
      <c r="G304" s="1130"/>
      <c r="H304" s="1130"/>
      <c r="I304" s="1130"/>
      <c r="J304" s="1130"/>
      <c r="K304" s="1130"/>
      <c r="L304" s="1130"/>
      <c r="M304" s="1130"/>
      <c r="N304" s="1130"/>
      <c r="O304" s="1130"/>
      <c r="P304" s="1130"/>
      <c r="Y304" s="1131"/>
    </row>
    <row r="305" spans="5:25">
      <c r="E305" s="1130"/>
      <c r="F305" s="1130"/>
      <c r="G305" s="1130"/>
      <c r="H305" s="1130"/>
      <c r="I305" s="1130"/>
      <c r="J305" s="1130"/>
      <c r="K305" s="1130"/>
      <c r="L305" s="1130"/>
      <c r="M305" s="1130"/>
      <c r="N305" s="1130"/>
      <c r="O305" s="1130"/>
      <c r="P305" s="1130"/>
      <c r="Y305" s="1131"/>
    </row>
    <row r="306" spans="5:25">
      <c r="E306" s="1130"/>
      <c r="F306" s="1130"/>
      <c r="G306" s="1130"/>
      <c r="H306" s="1130"/>
      <c r="I306" s="1130"/>
      <c r="J306" s="1130"/>
      <c r="K306" s="1130"/>
      <c r="L306" s="1130"/>
      <c r="M306" s="1130"/>
      <c r="N306" s="1130"/>
      <c r="O306" s="1130"/>
      <c r="P306" s="1130"/>
      <c r="Y306" s="1131"/>
    </row>
    <row r="307" spans="5:25">
      <c r="E307" s="1130"/>
      <c r="F307" s="1130"/>
      <c r="G307" s="1130"/>
      <c r="H307" s="1130"/>
      <c r="I307" s="1130"/>
      <c r="J307" s="1130"/>
      <c r="K307" s="1130"/>
      <c r="L307" s="1130"/>
      <c r="M307" s="1130"/>
      <c r="N307" s="1130"/>
      <c r="O307" s="1130"/>
      <c r="P307" s="1130"/>
      <c r="Y307" s="1131"/>
    </row>
    <row r="308" spans="5:25">
      <c r="E308" s="1130"/>
      <c r="F308" s="1130"/>
      <c r="G308" s="1130"/>
      <c r="H308" s="1130"/>
      <c r="I308" s="1130"/>
      <c r="J308" s="1130"/>
      <c r="K308" s="1130"/>
      <c r="L308" s="1130"/>
      <c r="M308" s="1130"/>
      <c r="N308" s="1130"/>
      <c r="O308" s="1130"/>
      <c r="P308" s="1130"/>
      <c r="Y308" s="1131"/>
    </row>
    <row r="309" spans="5:25">
      <c r="E309" s="1130"/>
      <c r="F309" s="1130"/>
      <c r="G309" s="1130"/>
      <c r="H309" s="1130"/>
      <c r="I309" s="1130"/>
      <c r="J309" s="1130"/>
      <c r="K309" s="1130"/>
      <c r="L309" s="1130"/>
      <c r="M309" s="1130"/>
      <c r="N309" s="1130"/>
      <c r="O309" s="1130"/>
      <c r="P309" s="1130"/>
      <c r="Y309" s="1131"/>
    </row>
    <row r="310" spans="5:25">
      <c r="E310" s="1130"/>
      <c r="F310" s="1130"/>
      <c r="G310" s="1130"/>
      <c r="H310" s="1130"/>
      <c r="I310" s="1130"/>
      <c r="J310" s="1130"/>
      <c r="K310" s="1130"/>
      <c r="L310" s="1130"/>
      <c r="M310" s="1130"/>
      <c r="N310" s="1130"/>
      <c r="O310" s="1130"/>
      <c r="P310" s="1130"/>
      <c r="Y310" s="1131"/>
    </row>
    <row r="311" spans="5:25">
      <c r="E311" s="1130"/>
      <c r="F311" s="1130"/>
      <c r="G311" s="1130"/>
      <c r="H311" s="1130"/>
      <c r="I311" s="1130"/>
      <c r="J311" s="1130"/>
      <c r="K311" s="1130"/>
      <c r="L311" s="1130"/>
      <c r="M311" s="1130"/>
      <c r="N311" s="1130"/>
      <c r="O311" s="1130"/>
      <c r="P311" s="1130"/>
      <c r="Y311" s="1131"/>
    </row>
    <row r="312" spans="5:25">
      <c r="E312" s="1130"/>
      <c r="F312" s="1130"/>
      <c r="G312" s="1130"/>
      <c r="H312" s="1130"/>
      <c r="I312" s="1130"/>
      <c r="J312" s="1130"/>
      <c r="K312" s="1130"/>
      <c r="L312" s="1130"/>
      <c r="M312" s="1130"/>
      <c r="N312" s="1130"/>
      <c r="O312" s="1130"/>
      <c r="P312" s="1130"/>
      <c r="Y312" s="1131"/>
    </row>
    <row r="313" spans="5:25">
      <c r="E313" s="1130"/>
      <c r="F313" s="1130"/>
      <c r="G313" s="1130"/>
      <c r="H313" s="1130"/>
      <c r="I313" s="1130"/>
      <c r="J313" s="1130"/>
      <c r="K313" s="1130"/>
      <c r="L313" s="1130"/>
      <c r="M313" s="1130"/>
      <c r="N313" s="1130"/>
      <c r="O313" s="1130"/>
      <c r="P313" s="1130"/>
      <c r="Y313" s="1131"/>
    </row>
    <row r="314" spans="5:25">
      <c r="E314" s="1130"/>
      <c r="F314" s="1130"/>
      <c r="G314" s="1130"/>
      <c r="H314" s="1130"/>
      <c r="I314" s="1130"/>
      <c r="J314" s="1130"/>
      <c r="K314" s="1130"/>
      <c r="L314" s="1130"/>
      <c r="M314" s="1130"/>
      <c r="N314" s="1130"/>
      <c r="O314" s="1130"/>
      <c r="P314" s="1130"/>
      <c r="Y314" s="1131"/>
    </row>
    <row r="315" spans="5:25">
      <c r="E315" s="1130"/>
      <c r="F315" s="1130"/>
      <c r="G315" s="1130"/>
      <c r="H315" s="1130"/>
      <c r="I315" s="1130"/>
      <c r="J315" s="1130"/>
      <c r="K315" s="1130"/>
      <c r="L315" s="1130"/>
      <c r="M315" s="1130"/>
      <c r="N315" s="1130"/>
      <c r="O315" s="1130"/>
      <c r="P315" s="1130"/>
      <c r="Y315" s="1131"/>
    </row>
    <row r="316" spans="5:25">
      <c r="E316" s="1130"/>
      <c r="F316" s="1130"/>
      <c r="G316" s="1130"/>
      <c r="H316" s="1130"/>
      <c r="I316" s="1130"/>
      <c r="J316" s="1130"/>
      <c r="K316" s="1130"/>
      <c r="L316" s="1130"/>
      <c r="M316" s="1130"/>
      <c r="N316" s="1130"/>
      <c r="O316" s="1130"/>
      <c r="P316" s="1130"/>
      <c r="Y316" s="1131"/>
    </row>
    <row r="317" spans="5:25">
      <c r="E317" s="1130"/>
      <c r="F317" s="1130"/>
      <c r="G317" s="1130"/>
      <c r="H317" s="1130"/>
      <c r="I317" s="1130"/>
      <c r="J317" s="1130"/>
      <c r="K317" s="1130"/>
      <c r="L317" s="1130"/>
      <c r="M317" s="1130"/>
      <c r="N317" s="1130"/>
      <c r="O317" s="1130"/>
      <c r="P317" s="1130"/>
      <c r="Y317" s="1131"/>
    </row>
    <row r="318" spans="5:25">
      <c r="E318" s="1130"/>
      <c r="F318" s="1130"/>
      <c r="G318" s="1130"/>
      <c r="H318" s="1130"/>
      <c r="I318" s="1130"/>
      <c r="J318" s="1130"/>
      <c r="K318" s="1130"/>
      <c r="L318" s="1130"/>
      <c r="M318" s="1130"/>
      <c r="N318" s="1130"/>
      <c r="O318" s="1130"/>
      <c r="P318" s="1130"/>
      <c r="Y318" s="1131"/>
    </row>
    <row r="319" spans="5:25">
      <c r="E319" s="1130"/>
      <c r="F319" s="1130"/>
      <c r="G319" s="1130"/>
      <c r="H319" s="1130"/>
      <c r="I319" s="1130"/>
      <c r="J319" s="1130"/>
      <c r="K319" s="1130"/>
      <c r="L319" s="1130"/>
      <c r="M319" s="1130"/>
      <c r="N319" s="1130"/>
      <c r="O319" s="1130"/>
      <c r="P319" s="1130"/>
      <c r="Y319" s="1131"/>
    </row>
    <row r="320" spans="5:25">
      <c r="E320" s="1130"/>
      <c r="F320" s="1130"/>
      <c r="G320" s="1130"/>
      <c r="H320" s="1130"/>
      <c r="I320" s="1130"/>
      <c r="J320" s="1130"/>
      <c r="K320" s="1130"/>
      <c r="L320" s="1130"/>
      <c r="M320" s="1130"/>
      <c r="N320" s="1130"/>
      <c r="O320" s="1130"/>
      <c r="P320" s="1130"/>
      <c r="Y320" s="1131"/>
    </row>
    <row r="321" spans="5:25">
      <c r="E321" s="1130"/>
      <c r="F321" s="1130"/>
      <c r="G321" s="1130"/>
      <c r="H321" s="1130"/>
      <c r="I321" s="1130"/>
      <c r="J321" s="1130"/>
      <c r="K321" s="1130"/>
      <c r="L321" s="1130"/>
      <c r="M321" s="1130"/>
      <c r="N321" s="1130"/>
      <c r="O321" s="1130"/>
      <c r="P321" s="1130"/>
      <c r="Y321" s="1131"/>
    </row>
    <row r="322" spans="5:25">
      <c r="E322" s="1130"/>
      <c r="F322" s="1130"/>
      <c r="G322" s="1130"/>
      <c r="H322" s="1130"/>
      <c r="I322" s="1130"/>
      <c r="J322" s="1130"/>
      <c r="K322" s="1130"/>
      <c r="L322" s="1130"/>
      <c r="M322" s="1130"/>
      <c r="N322" s="1130"/>
      <c r="O322" s="1130"/>
      <c r="P322" s="1130"/>
      <c r="Y322" s="1131"/>
    </row>
    <row r="323" spans="5:25">
      <c r="E323" s="1130"/>
      <c r="F323" s="1130"/>
      <c r="G323" s="1130"/>
      <c r="H323" s="1130"/>
      <c r="I323" s="1130"/>
      <c r="J323" s="1130"/>
      <c r="K323" s="1130"/>
      <c r="L323" s="1130"/>
      <c r="M323" s="1130"/>
      <c r="N323" s="1130"/>
      <c r="O323" s="1130"/>
      <c r="P323" s="1130"/>
      <c r="Y323" s="1131"/>
    </row>
    <row r="324" spans="5:25">
      <c r="E324" s="1130"/>
      <c r="F324" s="1130"/>
      <c r="G324" s="1130"/>
      <c r="H324" s="1130"/>
      <c r="I324" s="1130"/>
      <c r="J324" s="1130"/>
      <c r="K324" s="1130"/>
      <c r="L324" s="1130"/>
      <c r="M324" s="1130"/>
      <c r="N324" s="1130"/>
      <c r="O324" s="1130"/>
      <c r="P324" s="1130"/>
      <c r="Y324" s="1131"/>
    </row>
    <row r="325" spans="5:25">
      <c r="E325" s="1130"/>
      <c r="F325" s="1130"/>
      <c r="G325" s="1130"/>
      <c r="H325" s="1130"/>
      <c r="I325" s="1130"/>
      <c r="J325" s="1130"/>
      <c r="K325" s="1130"/>
      <c r="L325" s="1130"/>
      <c r="M325" s="1130"/>
      <c r="N325" s="1130"/>
      <c r="O325" s="1130"/>
      <c r="P325" s="1130"/>
      <c r="Y325" s="1131"/>
    </row>
    <row r="326" spans="5:25">
      <c r="E326" s="1130"/>
      <c r="F326" s="1130"/>
      <c r="G326" s="1130"/>
      <c r="H326" s="1130"/>
      <c r="I326" s="1130"/>
      <c r="J326" s="1130"/>
      <c r="K326" s="1130"/>
      <c r="L326" s="1130"/>
      <c r="M326" s="1130"/>
      <c r="N326" s="1130"/>
      <c r="O326" s="1130"/>
      <c r="P326" s="1130"/>
      <c r="Y326" s="1131"/>
    </row>
    <row r="327" spans="5:25">
      <c r="E327" s="1130"/>
      <c r="F327" s="1130"/>
      <c r="G327" s="1130"/>
      <c r="H327" s="1130"/>
      <c r="I327" s="1130"/>
      <c r="J327" s="1130"/>
      <c r="K327" s="1130"/>
      <c r="L327" s="1130"/>
      <c r="M327" s="1130"/>
      <c r="N327" s="1130"/>
      <c r="O327" s="1130"/>
      <c r="P327" s="1130"/>
      <c r="Y327" s="1131"/>
    </row>
    <row r="328" spans="5:25">
      <c r="E328" s="1130"/>
      <c r="F328" s="1130"/>
      <c r="G328" s="1130"/>
      <c r="H328" s="1130"/>
      <c r="I328" s="1130"/>
      <c r="J328" s="1130"/>
      <c r="K328" s="1130"/>
      <c r="L328" s="1130"/>
      <c r="M328" s="1130"/>
      <c r="N328" s="1130"/>
      <c r="O328" s="1130"/>
      <c r="P328" s="1130"/>
      <c r="Y328" s="1131"/>
    </row>
    <row r="329" spans="5:25">
      <c r="E329" s="1130"/>
      <c r="F329" s="1130"/>
      <c r="G329" s="1130"/>
      <c r="H329" s="1130"/>
      <c r="I329" s="1130"/>
      <c r="J329" s="1130"/>
      <c r="K329" s="1130"/>
      <c r="L329" s="1130"/>
      <c r="M329" s="1130"/>
      <c r="N329" s="1130"/>
      <c r="O329" s="1130"/>
      <c r="P329" s="1130"/>
      <c r="Y329" s="1131"/>
    </row>
    <row r="330" spans="5:25">
      <c r="E330" s="1130"/>
      <c r="F330" s="1130"/>
      <c r="G330" s="1130"/>
      <c r="H330" s="1130"/>
      <c r="I330" s="1130"/>
      <c r="J330" s="1130"/>
      <c r="K330" s="1130"/>
      <c r="L330" s="1130"/>
      <c r="M330" s="1130"/>
      <c r="N330" s="1130"/>
      <c r="O330" s="1130"/>
      <c r="P330" s="1130"/>
      <c r="Y330" s="1131"/>
    </row>
    <row r="331" spans="5:25">
      <c r="E331" s="1130"/>
      <c r="F331" s="1130"/>
      <c r="G331" s="1130"/>
      <c r="H331" s="1130"/>
      <c r="I331" s="1130"/>
      <c r="J331" s="1130"/>
      <c r="K331" s="1130"/>
      <c r="L331" s="1130"/>
      <c r="M331" s="1130"/>
      <c r="N331" s="1130"/>
      <c r="O331" s="1130"/>
      <c r="P331" s="1130"/>
      <c r="Y331" s="1131"/>
    </row>
    <row r="332" spans="5:25">
      <c r="E332" s="1130"/>
      <c r="F332" s="1130"/>
      <c r="G332" s="1130"/>
      <c r="H332" s="1130"/>
      <c r="I332" s="1130"/>
      <c r="J332" s="1130"/>
      <c r="K332" s="1130"/>
      <c r="L332" s="1130"/>
      <c r="M332" s="1130"/>
      <c r="N332" s="1130"/>
      <c r="O332" s="1130"/>
      <c r="P332" s="1130"/>
      <c r="Y332" s="1131"/>
    </row>
    <row r="333" spans="5:25">
      <c r="E333" s="1130"/>
      <c r="F333" s="1130"/>
      <c r="G333" s="1130"/>
      <c r="H333" s="1130"/>
      <c r="I333" s="1130"/>
      <c r="J333" s="1130"/>
      <c r="K333" s="1130"/>
      <c r="L333" s="1130"/>
      <c r="M333" s="1130"/>
      <c r="N333" s="1130"/>
      <c r="O333" s="1130"/>
      <c r="P333" s="1130"/>
      <c r="Y333" s="1131"/>
    </row>
    <row r="334" spans="5:25">
      <c r="E334" s="1130"/>
      <c r="F334" s="1130"/>
      <c r="G334" s="1130"/>
      <c r="H334" s="1130"/>
      <c r="I334" s="1130"/>
      <c r="J334" s="1130"/>
      <c r="K334" s="1130"/>
      <c r="L334" s="1130"/>
      <c r="M334" s="1130"/>
      <c r="N334" s="1130"/>
      <c r="O334" s="1130"/>
      <c r="P334" s="1130"/>
      <c r="Y334" s="1131"/>
    </row>
    <row r="335" spans="5:25">
      <c r="E335" s="1130"/>
      <c r="F335" s="1130"/>
      <c r="G335" s="1130"/>
      <c r="H335" s="1130"/>
      <c r="I335" s="1130"/>
      <c r="J335" s="1130"/>
      <c r="K335" s="1130"/>
      <c r="L335" s="1130"/>
      <c r="M335" s="1130"/>
      <c r="N335" s="1130"/>
      <c r="O335" s="1130"/>
      <c r="P335" s="1130"/>
      <c r="Y335" s="1131"/>
    </row>
    <row r="336" spans="5:25">
      <c r="E336" s="1130"/>
      <c r="F336" s="1130"/>
      <c r="G336" s="1130"/>
      <c r="H336" s="1130"/>
      <c r="I336" s="1130"/>
      <c r="J336" s="1130"/>
      <c r="K336" s="1130"/>
      <c r="L336" s="1130"/>
      <c r="M336" s="1130"/>
      <c r="N336" s="1130"/>
      <c r="O336" s="1130"/>
      <c r="P336" s="1130"/>
      <c r="Y336" s="1131"/>
    </row>
    <row r="337" spans="5:25">
      <c r="E337" s="1130"/>
      <c r="F337" s="1130"/>
      <c r="G337" s="1130"/>
      <c r="H337" s="1130"/>
      <c r="I337" s="1130"/>
      <c r="J337" s="1130"/>
      <c r="K337" s="1130"/>
      <c r="L337" s="1130"/>
      <c r="M337" s="1130"/>
      <c r="N337" s="1130"/>
      <c r="O337" s="1130"/>
      <c r="P337" s="1130"/>
      <c r="Y337" s="1131"/>
    </row>
    <row r="338" spans="5:25">
      <c r="E338" s="1130"/>
      <c r="F338" s="1130"/>
      <c r="G338" s="1130"/>
      <c r="H338" s="1130"/>
      <c r="I338" s="1130"/>
      <c r="J338" s="1130"/>
      <c r="K338" s="1130"/>
      <c r="L338" s="1130"/>
      <c r="M338" s="1130"/>
      <c r="N338" s="1130"/>
      <c r="O338" s="1130"/>
      <c r="P338" s="1130"/>
      <c r="Y338" s="1131"/>
    </row>
    <row r="339" spans="5:25">
      <c r="E339" s="1130"/>
      <c r="F339" s="1130"/>
      <c r="G339" s="1130"/>
      <c r="H339" s="1130"/>
      <c r="I339" s="1130"/>
      <c r="J339" s="1130"/>
      <c r="K339" s="1130"/>
      <c r="L339" s="1130"/>
      <c r="M339" s="1130"/>
      <c r="N339" s="1130"/>
      <c r="O339" s="1130"/>
      <c r="P339" s="1130"/>
      <c r="Y339" s="1131"/>
    </row>
    <row r="340" spans="5:25">
      <c r="E340" s="1130"/>
      <c r="F340" s="1130"/>
      <c r="G340" s="1130"/>
      <c r="H340" s="1130"/>
      <c r="I340" s="1130"/>
      <c r="J340" s="1130"/>
      <c r="K340" s="1130"/>
      <c r="L340" s="1130"/>
      <c r="M340" s="1130"/>
      <c r="N340" s="1130"/>
      <c r="O340" s="1130"/>
      <c r="P340" s="1130"/>
      <c r="Y340" s="1131"/>
    </row>
    <row r="341" spans="5:25">
      <c r="E341" s="1130"/>
      <c r="F341" s="1130"/>
      <c r="G341" s="1130"/>
      <c r="H341" s="1130"/>
      <c r="I341" s="1130"/>
      <c r="J341" s="1130"/>
      <c r="K341" s="1130"/>
      <c r="L341" s="1130"/>
      <c r="M341" s="1130"/>
      <c r="N341" s="1130"/>
      <c r="O341" s="1130"/>
      <c r="P341" s="1130"/>
      <c r="Y341" s="1131"/>
    </row>
    <row r="342" spans="5:25">
      <c r="E342" s="1130"/>
      <c r="F342" s="1130"/>
      <c r="G342" s="1130"/>
      <c r="H342" s="1130"/>
      <c r="I342" s="1130"/>
      <c r="J342" s="1130"/>
      <c r="K342" s="1130"/>
      <c r="L342" s="1130"/>
      <c r="M342" s="1130"/>
      <c r="N342" s="1130"/>
      <c r="O342" s="1130"/>
      <c r="P342" s="1130"/>
      <c r="Y342" s="1131"/>
    </row>
    <row r="343" spans="5:25">
      <c r="E343" s="1130"/>
      <c r="F343" s="1130"/>
      <c r="G343" s="1130"/>
      <c r="H343" s="1130"/>
      <c r="I343" s="1130"/>
      <c r="J343" s="1130"/>
      <c r="K343" s="1130"/>
      <c r="L343" s="1130"/>
      <c r="M343" s="1130"/>
      <c r="N343" s="1130"/>
      <c r="O343" s="1130"/>
      <c r="P343" s="1130"/>
      <c r="Y343" s="1131"/>
    </row>
    <row r="344" spans="5:25">
      <c r="E344" s="1130"/>
      <c r="F344" s="1130"/>
      <c r="G344" s="1130"/>
      <c r="H344" s="1130"/>
      <c r="I344" s="1130"/>
      <c r="J344" s="1130"/>
      <c r="K344" s="1130"/>
      <c r="L344" s="1130"/>
      <c r="M344" s="1130"/>
      <c r="N344" s="1130"/>
      <c r="O344" s="1130"/>
      <c r="P344" s="1130"/>
      <c r="Y344" s="1131"/>
    </row>
    <row r="345" spans="5:25">
      <c r="E345" s="1130"/>
      <c r="F345" s="1130"/>
      <c r="G345" s="1130"/>
      <c r="H345" s="1130"/>
      <c r="I345" s="1130"/>
      <c r="J345" s="1130"/>
      <c r="K345" s="1130"/>
      <c r="L345" s="1130"/>
      <c r="M345" s="1130"/>
      <c r="N345" s="1130"/>
      <c r="O345" s="1130"/>
      <c r="P345" s="1130"/>
      <c r="Y345" s="1131"/>
    </row>
    <row r="346" spans="5:25">
      <c r="E346" s="1130"/>
      <c r="F346" s="1130"/>
      <c r="G346" s="1130"/>
      <c r="H346" s="1130"/>
      <c r="I346" s="1130"/>
      <c r="J346" s="1130"/>
      <c r="K346" s="1130"/>
      <c r="L346" s="1130"/>
      <c r="M346" s="1130"/>
      <c r="N346" s="1130"/>
      <c r="O346" s="1130"/>
      <c r="P346" s="1130"/>
      <c r="Y346" s="1131"/>
    </row>
    <row r="347" spans="5:25">
      <c r="E347" s="1130"/>
      <c r="F347" s="1130"/>
      <c r="G347" s="1130"/>
      <c r="H347" s="1130"/>
      <c r="I347" s="1130"/>
      <c r="J347" s="1130"/>
      <c r="K347" s="1130"/>
      <c r="L347" s="1130"/>
      <c r="M347" s="1130"/>
      <c r="N347" s="1130"/>
      <c r="O347" s="1130"/>
      <c r="P347" s="1130"/>
      <c r="Y347" s="1131"/>
    </row>
    <row r="348" spans="5:25">
      <c r="E348" s="1130"/>
      <c r="F348" s="1130"/>
      <c r="G348" s="1130"/>
      <c r="H348" s="1130"/>
      <c r="I348" s="1130"/>
      <c r="J348" s="1130"/>
      <c r="K348" s="1130"/>
      <c r="L348" s="1130"/>
      <c r="M348" s="1130"/>
      <c r="N348" s="1130"/>
      <c r="O348" s="1130"/>
      <c r="P348" s="1130"/>
      <c r="Y348" s="1131"/>
    </row>
    <row r="349" spans="5:25">
      <c r="E349" s="1130"/>
      <c r="F349" s="1130"/>
      <c r="G349" s="1130"/>
      <c r="H349" s="1130"/>
      <c r="I349" s="1130"/>
      <c r="J349" s="1130"/>
      <c r="K349" s="1130"/>
      <c r="L349" s="1130"/>
      <c r="M349" s="1130"/>
      <c r="N349" s="1130"/>
      <c r="O349" s="1130"/>
      <c r="P349" s="1130"/>
      <c r="Y349" s="1131"/>
    </row>
    <row r="350" spans="5:25">
      <c r="E350" s="1130"/>
      <c r="F350" s="1130"/>
      <c r="G350" s="1130"/>
      <c r="H350" s="1130"/>
      <c r="I350" s="1130"/>
      <c r="J350" s="1130"/>
      <c r="K350" s="1130"/>
      <c r="L350" s="1130"/>
      <c r="M350" s="1130"/>
      <c r="N350" s="1130"/>
      <c r="O350" s="1130"/>
      <c r="P350" s="1130"/>
      <c r="Y350" s="1131"/>
    </row>
    <row r="351" spans="5:25">
      <c r="E351" s="1130"/>
      <c r="F351" s="1130"/>
      <c r="G351" s="1130"/>
      <c r="H351" s="1130"/>
      <c r="I351" s="1130"/>
      <c r="J351" s="1130"/>
      <c r="K351" s="1130"/>
      <c r="L351" s="1130"/>
      <c r="M351" s="1130"/>
      <c r="N351" s="1130"/>
      <c r="O351" s="1130"/>
      <c r="P351" s="1130"/>
      <c r="Y351" s="1131"/>
    </row>
    <row r="352" spans="5:25">
      <c r="E352" s="1130"/>
      <c r="F352" s="1130"/>
      <c r="G352" s="1130"/>
      <c r="H352" s="1130"/>
      <c r="I352" s="1130"/>
      <c r="J352" s="1130"/>
      <c r="K352" s="1130"/>
      <c r="L352" s="1130"/>
      <c r="M352" s="1130"/>
      <c r="N352" s="1130"/>
      <c r="O352" s="1130"/>
      <c r="P352" s="1130"/>
      <c r="Y352" s="1131"/>
    </row>
    <row r="353" spans="5:25">
      <c r="E353" s="1130"/>
      <c r="F353" s="1130"/>
      <c r="G353" s="1130"/>
      <c r="H353" s="1130"/>
      <c r="I353" s="1130"/>
      <c r="J353" s="1130"/>
      <c r="K353" s="1130"/>
      <c r="L353" s="1130"/>
      <c r="M353" s="1130"/>
      <c r="N353" s="1130"/>
      <c r="O353" s="1130"/>
      <c r="P353" s="1130"/>
      <c r="Y353" s="1131"/>
    </row>
    <row r="354" spans="5:25">
      <c r="E354" s="1130"/>
      <c r="F354" s="1130"/>
      <c r="G354" s="1130"/>
      <c r="H354" s="1130"/>
      <c r="I354" s="1130"/>
      <c r="J354" s="1130"/>
      <c r="K354" s="1130"/>
      <c r="L354" s="1130"/>
      <c r="M354" s="1130"/>
      <c r="N354" s="1130"/>
      <c r="O354" s="1130"/>
      <c r="P354" s="1130"/>
      <c r="Y354" s="1131"/>
    </row>
    <row r="355" spans="5:25">
      <c r="E355" s="1130"/>
      <c r="F355" s="1130"/>
      <c r="G355" s="1130"/>
      <c r="H355" s="1130"/>
      <c r="I355" s="1130"/>
      <c r="J355" s="1130"/>
      <c r="K355" s="1130"/>
      <c r="L355" s="1130"/>
      <c r="M355" s="1130"/>
      <c r="N355" s="1130"/>
      <c r="O355" s="1130"/>
      <c r="P355" s="1130"/>
      <c r="Y355" s="1131"/>
    </row>
    <row r="356" spans="5:25">
      <c r="E356" s="1130"/>
      <c r="F356" s="1130"/>
      <c r="G356" s="1130"/>
      <c r="H356" s="1130"/>
      <c r="I356" s="1130"/>
      <c r="J356" s="1130"/>
      <c r="K356" s="1130"/>
      <c r="L356" s="1130"/>
      <c r="M356" s="1130"/>
      <c r="N356" s="1130"/>
      <c r="O356" s="1130"/>
      <c r="P356" s="1130"/>
      <c r="Y356" s="1131"/>
    </row>
    <row r="357" spans="5:25">
      <c r="E357" s="1130"/>
      <c r="F357" s="1130"/>
      <c r="G357" s="1130"/>
      <c r="H357" s="1130"/>
      <c r="I357" s="1130"/>
      <c r="J357" s="1130"/>
      <c r="K357" s="1130"/>
      <c r="L357" s="1130"/>
      <c r="M357" s="1130"/>
      <c r="N357" s="1130"/>
      <c r="O357" s="1130"/>
      <c r="P357" s="1130"/>
      <c r="Y357" s="1131"/>
    </row>
    <row r="358" spans="5:25">
      <c r="E358" s="1130"/>
      <c r="F358" s="1130"/>
      <c r="G358" s="1130"/>
      <c r="H358" s="1130"/>
      <c r="I358" s="1130"/>
      <c r="J358" s="1130"/>
      <c r="K358" s="1130"/>
      <c r="L358" s="1130"/>
      <c r="M358" s="1130"/>
      <c r="N358" s="1130"/>
      <c r="O358" s="1130"/>
      <c r="P358" s="1130"/>
      <c r="Y358" s="1131"/>
    </row>
    <row r="359" spans="5:25">
      <c r="E359" s="1130"/>
      <c r="F359" s="1130"/>
      <c r="G359" s="1130"/>
      <c r="H359" s="1130"/>
      <c r="I359" s="1130"/>
      <c r="J359" s="1130"/>
      <c r="K359" s="1130"/>
      <c r="L359" s="1130"/>
      <c r="M359" s="1130"/>
      <c r="N359" s="1130"/>
      <c r="O359" s="1130"/>
      <c r="P359" s="1130"/>
      <c r="Y359" s="1131"/>
    </row>
    <row r="360" spans="5:25">
      <c r="E360" s="1130"/>
      <c r="F360" s="1130"/>
      <c r="G360" s="1130"/>
      <c r="H360" s="1130"/>
      <c r="I360" s="1130"/>
      <c r="J360" s="1130"/>
      <c r="K360" s="1130"/>
      <c r="L360" s="1130"/>
      <c r="M360" s="1130"/>
      <c r="N360" s="1130"/>
      <c r="O360" s="1130"/>
      <c r="P360" s="1130"/>
      <c r="Y360" s="1131"/>
    </row>
    <row r="361" spans="5:25">
      <c r="E361" s="1130"/>
      <c r="F361" s="1130"/>
      <c r="G361" s="1130"/>
      <c r="H361" s="1130"/>
      <c r="I361" s="1130"/>
      <c r="J361" s="1130"/>
      <c r="K361" s="1130"/>
      <c r="L361" s="1130"/>
      <c r="M361" s="1130"/>
      <c r="N361" s="1130"/>
      <c r="O361" s="1130"/>
      <c r="P361" s="1130"/>
      <c r="Y361" s="1131"/>
    </row>
    <row r="362" spans="5:25">
      <c r="E362" s="1130"/>
      <c r="F362" s="1130"/>
      <c r="G362" s="1130"/>
      <c r="H362" s="1130"/>
      <c r="I362" s="1130"/>
      <c r="J362" s="1130"/>
      <c r="K362" s="1130"/>
      <c r="L362" s="1130"/>
      <c r="M362" s="1130"/>
      <c r="N362" s="1130"/>
      <c r="O362" s="1130"/>
      <c r="P362" s="1130"/>
      <c r="Y362" s="1131"/>
    </row>
    <row r="363" spans="5:25">
      <c r="E363" s="1130"/>
      <c r="F363" s="1130"/>
      <c r="G363" s="1130"/>
      <c r="H363" s="1130"/>
      <c r="I363" s="1130"/>
      <c r="J363" s="1130"/>
      <c r="K363" s="1130"/>
      <c r="L363" s="1130"/>
      <c r="M363" s="1130"/>
      <c r="N363" s="1130"/>
      <c r="O363" s="1130"/>
      <c r="P363" s="1130"/>
      <c r="Y363" s="1131"/>
    </row>
    <row r="364" spans="5:25">
      <c r="E364" s="1130"/>
      <c r="F364" s="1130"/>
      <c r="G364" s="1130"/>
      <c r="H364" s="1130"/>
      <c r="I364" s="1130"/>
      <c r="J364" s="1130"/>
      <c r="K364" s="1130"/>
      <c r="L364" s="1130"/>
      <c r="M364" s="1130"/>
      <c r="N364" s="1130"/>
      <c r="O364" s="1130"/>
      <c r="P364" s="1130"/>
      <c r="Y364" s="1131"/>
    </row>
    <row r="365" spans="5:25">
      <c r="E365" s="1130"/>
      <c r="F365" s="1130"/>
      <c r="G365" s="1130"/>
      <c r="H365" s="1130"/>
      <c r="I365" s="1130"/>
      <c r="J365" s="1130"/>
      <c r="K365" s="1130"/>
      <c r="L365" s="1130"/>
      <c r="M365" s="1130"/>
      <c r="N365" s="1130"/>
      <c r="O365" s="1130"/>
      <c r="P365" s="1130"/>
      <c r="Y365" s="1131"/>
    </row>
    <row r="366" spans="5:25">
      <c r="E366" s="1130"/>
      <c r="F366" s="1130"/>
      <c r="G366" s="1130"/>
      <c r="H366" s="1130"/>
      <c r="I366" s="1130"/>
      <c r="J366" s="1130"/>
      <c r="K366" s="1130"/>
      <c r="L366" s="1130"/>
      <c r="M366" s="1130"/>
      <c r="N366" s="1130"/>
      <c r="O366" s="1130"/>
      <c r="P366" s="1130"/>
      <c r="Y366" s="1131"/>
    </row>
    <row r="367" spans="5:25">
      <c r="E367" s="1130"/>
      <c r="F367" s="1130"/>
      <c r="G367" s="1130"/>
      <c r="H367" s="1130"/>
      <c r="I367" s="1130"/>
      <c r="J367" s="1130"/>
      <c r="K367" s="1130"/>
      <c r="L367" s="1130"/>
      <c r="M367" s="1130"/>
      <c r="N367" s="1130"/>
      <c r="O367" s="1130"/>
      <c r="P367" s="1130"/>
      <c r="Y367" s="1131"/>
    </row>
    <row r="368" spans="5:25">
      <c r="E368" s="1130"/>
      <c r="F368" s="1130"/>
      <c r="G368" s="1130"/>
      <c r="H368" s="1130"/>
      <c r="I368" s="1130"/>
      <c r="J368" s="1130"/>
      <c r="K368" s="1130"/>
      <c r="L368" s="1130"/>
      <c r="M368" s="1130"/>
      <c r="N368" s="1130"/>
      <c r="O368" s="1130"/>
      <c r="P368" s="1130"/>
      <c r="Y368" s="1131"/>
    </row>
    <row r="369" spans="5:25">
      <c r="E369" s="1130"/>
      <c r="F369" s="1130"/>
      <c r="G369" s="1130"/>
      <c r="H369" s="1130"/>
      <c r="I369" s="1130"/>
      <c r="J369" s="1130"/>
      <c r="K369" s="1130"/>
      <c r="L369" s="1130"/>
      <c r="M369" s="1130"/>
      <c r="N369" s="1130"/>
      <c r="O369" s="1130"/>
      <c r="P369" s="1130"/>
      <c r="Y369" s="1131"/>
    </row>
    <row r="370" spans="5:25">
      <c r="E370" s="1130"/>
      <c r="F370" s="1130"/>
      <c r="G370" s="1130"/>
      <c r="H370" s="1130"/>
      <c r="I370" s="1130"/>
      <c r="J370" s="1130"/>
      <c r="K370" s="1130"/>
      <c r="L370" s="1130"/>
      <c r="M370" s="1130"/>
      <c r="N370" s="1130"/>
      <c r="O370" s="1130"/>
      <c r="P370" s="1130"/>
      <c r="Y370" s="1131"/>
    </row>
    <row r="371" spans="5:25">
      <c r="E371" s="1130"/>
      <c r="F371" s="1130"/>
      <c r="G371" s="1130"/>
      <c r="H371" s="1130"/>
      <c r="I371" s="1130"/>
      <c r="J371" s="1130"/>
      <c r="K371" s="1130"/>
      <c r="L371" s="1130"/>
      <c r="M371" s="1130"/>
      <c r="N371" s="1130"/>
      <c r="O371" s="1130"/>
      <c r="P371" s="1130"/>
      <c r="Y371" s="1131"/>
    </row>
    <row r="372" spans="5:25">
      <c r="E372" s="1130"/>
      <c r="F372" s="1130"/>
      <c r="G372" s="1130"/>
      <c r="H372" s="1130"/>
      <c r="I372" s="1130"/>
      <c r="J372" s="1130"/>
      <c r="K372" s="1130"/>
      <c r="L372" s="1130"/>
      <c r="M372" s="1130"/>
      <c r="N372" s="1130"/>
      <c r="O372" s="1130"/>
      <c r="P372" s="1130"/>
      <c r="Y372" s="1131"/>
    </row>
    <row r="373" spans="5:25">
      <c r="E373" s="1130"/>
      <c r="F373" s="1130"/>
      <c r="G373" s="1130"/>
      <c r="H373" s="1130"/>
      <c r="I373" s="1130"/>
      <c r="J373" s="1130"/>
      <c r="K373" s="1130"/>
      <c r="L373" s="1130"/>
      <c r="M373" s="1130"/>
      <c r="N373" s="1130"/>
      <c r="O373" s="1130"/>
      <c r="P373" s="1130"/>
      <c r="Y373" s="1131"/>
    </row>
    <row r="374" spans="5:25">
      <c r="E374" s="1130"/>
      <c r="F374" s="1130"/>
      <c r="G374" s="1130"/>
      <c r="H374" s="1130"/>
      <c r="I374" s="1130"/>
      <c r="J374" s="1130"/>
      <c r="K374" s="1130"/>
      <c r="L374" s="1130"/>
      <c r="M374" s="1130"/>
      <c r="N374" s="1130"/>
      <c r="O374" s="1130"/>
      <c r="P374" s="1130"/>
      <c r="Y374" s="1131"/>
    </row>
    <row r="375" spans="5:25">
      <c r="E375" s="1130"/>
      <c r="F375" s="1130"/>
      <c r="G375" s="1130"/>
      <c r="H375" s="1130"/>
      <c r="I375" s="1130"/>
      <c r="J375" s="1130"/>
      <c r="K375" s="1130"/>
      <c r="L375" s="1130"/>
      <c r="M375" s="1130"/>
      <c r="N375" s="1130"/>
      <c r="O375" s="1130"/>
      <c r="P375" s="1130"/>
      <c r="Y375" s="1131"/>
    </row>
    <row r="376" spans="5:25">
      <c r="E376" s="1130"/>
      <c r="F376" s="1130"/>
      <c r="G376" s="1130"/>
      <c r="H376" s="1130"/>
      <c r="I376" s="1130"/>
      <c r="J376" s="1130"/>
      <c r="K376" s="1130"/>
      <c r="L376" s="1130"/>
      <c r="M376" s="1130"/>
      <c r="N376" s="1130"/>
      <c r="O376" s="1130"/>
      <c r="P376" s="1130"/>
      <c r="Y376" s="1131"/>
    </row>
    <row r="377" spans="5:25">
      <c r="E377" s="1130"/>
      <c r="F377" s="1130"/>
      <c r="G377" s="1130"/>
      <c r="H377" s="1130"/>
      <c r="I377" s="1130"/>
      <c r="J377" s="1130"/>
      <c r="K377" s="1130"/>
      <c r="L377" s="1130"/>
      <c r="M377" s="1130"/>
      <c r="N377" s="1130"/>
      <c r="O377" s="1130"/>
      <c r="P377" s="1130"/>
      <c r="Y377" s="1131"/>
    </row>
    <row r="378" spans="5:25">
      <c r="E378" s="1130"/>
      <c r="F378" s="1130"/>
      <c r="G378" s="1130"/>
      <c r="H378" s="1130"/>
      <c r="I378" s="1130"/>
      <c r="J378" s="1130"/>
      <c r="K378" s="1130"/>
      <c r="L378" s="1130"/>
      <c r="M378" s="1130"/>
      <c r="N378" s="1130"/>
      <c r="O378" s="1130"/>
      <c r="P378" s="1130"/>
      <c r="Y378" s="1131"/>
    </row>
    <row r="379" spans="5:25">
      <c r="E379" s="1130"/>
      <c r="F379" s="1130"/>
      <c r="G379" s="1130"/>
      <c r="H379" s="1130"/>
      <c r="I379" s="1130"/>
      <c r="J379" s="1130"/>
      <c r="K379" s="1130"/>
      <c r="L379" s="1130"/>
      <c r="M379" s="1130"/>
      <c r="N379" s="1130"/>
      <c r="O379" s="1130"/>
      <c r="P379" s="1130"/>
      <c r="Y379" s="1131"/>
    </row>
    <row r="380" spans="5:25">
      <c r="E380" s="1130"/>
      <c r="F380" s="1130"/>
      <c r="G380" s="1130"/>
      <c r="H380" s="1130"/>
      <c r="I380" s="1130"/>
      <c r="J380" s="1130"/>
      <c r="K380" s="1130"/>
      <c r="L380" s="1130"/>
      <c r="M380" s="1130"/>
      <c r="N380" s="1130"/>
      <c r="O380" s="1130"/>
      <c r="P380" s="1130"/>
      <c r="Y380" s="1131"/>
    </row>
    <row r="381" spans="5:25">
      <c r="E381" s="1130"/>
      <c r="F381" s="1130"/>
      <c r="G381" s="1130"/>
      <c r="H381" s="1130"/>
      <c r="I381" s="1130"/>
      <c r="J381" s="1130"/>
      <c r="K381" s="1130"/>
      <c r="L381" s="1130"/>
      <c r="M381" s="1130"/>
      <c r="N381" s="1130"/>
      <c r="O381" s="1130"/>
      <c r="P381" s="1130"/>
      <c r="Y381" s="1131"/>
    </row>
    <row r="382" spans="5:25">
      <c r="E382" s="1130"/>
      <c r="F382" s="1130"/>
      <c r="G382" s="1130"/>
      <c r="H382" s="1130"/>
      <c r="I382" s="1130"/>
      <c r="J382" s="1130"/>
      <c r="K382" s="1130"/>
      <c r="L382" s="1130"/>
      <c r="M382" s="1130"/>
      <c r="N382" s="1130"/>
      <c r="O382" s="1130"/>
      <c r="P382" s="1130"/>
      <c r="Y382" s="1131"/>
    </row>
    <row r="383" spans="5:25">
      <c r="E383" s="1130"/>
      <c r="F383" s="1130"/>
      <c r="G383" s="1130"/>
      <c r="H383" s="1130"/>
      <c r="I383" s="1130"/>
      <c r="J383" s="1130"/>
      <c r="K383" s="1130"/>
      <c r="L383" s="1130"/>
      <c r="M383" s="1130"/>
      <c r="N383" s="1130"/>
      <c r="O383" s="1130"/>
      <c r="P383" s="1130"/>
      <c r="Y383" s="1131"/>
    </row>
    <row r="384" spans="5:25">
      <c r="E384" s="1130"/>
      <c r="F384" s="1130"/>
      <c r="G384" s="1130"/>
      <c r="H384" s="1130"/>
      <c r="I384" s="1130"/>
      <c r="J384" s="1130"/>
      <c r="K384" s="1130"/>
      <c r="L384" s="1130"/>
      <c r="M384" s="1130"/>
      <c r="N384" s="1130"/>
      <c r="O384" s="1130"/>
      <c r="P384" s="1130"/>
      <c r="Y384" s="1131"/>
    </row>
    <row r="385" spans="5:25">
      <c r="E385" s="1130"/>
      <c r="F385" s="1130"/>
      <c r="G385" s="1130"/>
      <c r="H385" s="1130"/>
      <c r="I385" s="1130"/>
      <c r="J385" s="1130"/>
      <c r="K385" s="1130"/>
      <c r="L385" s="1130"/>
      <c r="M385" s="1130"/>
      <c r="N385" s="1130"/>
      <c r="O385" s="1130"/>
      <c r="P385" s="1130"/>
      <c r="Y385" s="1131"/>
    </row>
    <row r="386" spans="5:25">
      <c r="E386" s="1130"/>
      <c r="F386" s="1130"/>
      <c r="G386" s="1130"/>
      <c r="H386" s="1130"/>
      <c r="I386" s="1130"/>
      <c r="J386" s="1130"/>
      <c r="K386" s="1130"/>
      <c r="L386" s="1130"/>
      <c r="M386" s="1130"/>
      <c r="N386" s="1130"/>
      <c r="O386" s="1130"/>
      <c r="P386" s="1130"/>
      <c r="Y386" s="1131"/>
    </row>
    <row r="387" spans="5:25">
      <c r="E387" s="1130"/>
      <c r="F387" s="1130"/>
      <c r="G387" s="1130"/>
      <c r="H387" s="1130"/>
      <c r="I387" s="1130"/>
      <c r="J387" s="1130"/>
      <c r="K387" s="1130"/>
      <c r="L387" s="1130"/>
      <c r="M387" s="1130"/>
      <c r="N387" s="1130"/>
      <c r="O387" s="1130"/>
      <c r="P387" s="1130"/>
      <c r="Y387" s="1131"/>
    </row>
    <row r="388" spans="5:25">
      <c r="E388" s="1130"/>
      <c r="F388" s="1130"/>
      <c r="G388" s="1130"/>
      <c r="H388" s="1130"/>
      <c r="I388" s="1130"/>
      <c r="J388" s="1130"/>
      <c r="K388" s="1130"/>
      <c r="L388" s="1130"/>
      <c r="M388" s="1130"/>
      <c r="N388" s="1130"/>
      <c r="O388" s="1130"/>
      <c r="P388" s="1130"/>
      <c r="Y388" s="1131"/>
    </row>
    <row r="389" spans="5:25">
      <c r="E389" s="1130"/>
      <c r="F389" s="1130"/>
      <c r="G389" s="1130"/>
      <c r="H389" s="1130"/>
      <c r="I389" s="1130"/>
      <c r="J389" s="1130"/>
      <c r="K389" s="1130"/>
      <c r="L389" s="1130"/>
      <c r="M389" s="1130"/>
      <c r="N389" s="1130"/>
      <c r="O389" s="1130"/>
      <c r="P389" s="1130"/>
      <c r="Y389" s="1131"/>
    </row>
    <row r="390" spans="5:25">
      <c r="E390" s="1130"/>
      <c r="F390" s="1130"/>
      <c r="G390" s="1130"/>
      <c r="H390" s="1130"/>
      <c r="I390" s="1130"/>
      <c r="J390" s="1130"/>
      <c r="K390" s="1130"/>
      <c r="L390" s="1130"/>
      <c r="M390" s="1130"/>
      <c r="N390" s="1130"/>
      <c r="O390" s="1130"/>
      <c r="P390" s="1130"/>
      <c r="Y390" s="1131"/>
    </row>
    <row r="391" spans="5:25">
      <c r="E391" s="1130"/>
      <c r="F391" s="1130"/>
      <c r="G391" s="1130"/>
      <c r="H391" s="1130"/>
      <c r="I391" s="1130"/>
      <c r="J391" s="1130"/>
      <c r="K391" s="1130"/>
      <c r="L391" s="1130"/>
      <c r="M391" s="1130"/>
      <c r="N391" s="1130"/>
      <c r="O391" s="1130"/>
      <c r="P391" s="1130"/>
      <c r="Y391" s="1131"/>
    </row>
    <row r="392" spans="5:25">
      <c r="E392" s="1130"/>
      <c r="F392" s="1130"/>
      <c r="G392" s="1130"/>
      <c r="H392" s="1130"/>
      <c r="I392" s="1130"/>
      <c r="J392" s="1130"/>
      <c r="K392" s="1130"/>
      <c r="L392" s="1130"/>
      <c r="M392" s="1130"/>
      <c r="N392" s="1130"/>
      <c r="O392" s="1130"/>
      <c r="P392" s="1130"/>
      <c r="Y392" s="1131"/>
    </row>
    <row r="393" spans="5:25">
      <c r="E393" s="1130"/>
      <c r="F393" s="1130"/>
      <c r="G393" s="1130"/>
      <c r="H393" s="1130"/>
      <c r="I393" s="1130"/>
      <c r="J393" s="1130"/>
      <c r="K393" s="1130"/>
      <c r="L393" s="1130"/>
      <c r="M393" s="1130"/>
      <c r="N393" s="1130"/>
      <c r="O393" s="1130"/>
      <c r="P393" s="1130"/>
      <c r="Y393" s="1131"/>
    </row>
    <row r="394" spans="5:25">
      <c r="E394" s="1130"/>
      <c r="F394" s="1130"/>
      <c r="G394" s="1130"/>
      <c r="H394" s="1130"/>
      <c r="I394" s="1130"/>
      <c r="J394" s="1130"/>
      <c r="K394" s="1130"/>
      <c r="L394" s="1130"/>
      <c r="M394" s="1130"/>
      <c r="N394" s="1130"/>
      <c r="O394" s="1130"/>
      <c r="P394" s="1130"/>
      <c r="Y394" s="1131"/>
    </row>
    <row r="395" spans="5:25">
      <c r="E395" s="1130"/>
      <c r="F395" s="1130"/>
      <c r="G395" s="1130"/>
      <c r="H395" s="1130"/>
      <c r="I395" s="1130"/>
      <c r="J395" s="1130"/>
      <c r="K395" s="1130"/>
      <c r="L395" s="1130"/>
      <c r="M395" s="1130"/>
      <c r="N395" s="1130"/>
      <c r="O395" s="1130"/>
      <c r="P395" s="1130"/>
      <c r="Y395" s="1131"/>
    </row>
    <row r="396" spans="5:25">
      <c r="E396" s="1130"/>
      <c r="F396" s="1130"/>
      <c r="G396" s="1130"/>
      <c r="H396" s="1130"/>
      <c r="I396" s="1130"/>
      <c r="J396" s="1130"/>
      <c r="K396" s="1130"/>
      <c r="L396" s="1130"/>
      <c r="M396" s="1130"/>
      <c r="N396" s="1130"/>
      <c r="O396" s="1130"/>
      <c r="P396" s="1130"/>
      <c r="Y396" s="1131"/>
    </row>
    <row r="397" spans="5:25">
      <c r="E397" s="1130"/>
      <c r="F397" s="1130"/>
      <c r="G397" s="1130"/>
      <c r="H397" s="1130"/>
      <c r="I397" s="1130"/>
      <c r="J397" s="1130"/>
      <c r="K397" s="1130"/>
      <c r="L397" s="1130"/>
      <c r="M397" s="1130"/>
      <c r="N397" s="1130"/>
      <c r="O397" s="1130"/>
      <c r="P397" s="1130"/>
      <c r="Y397" s="1131"/>
    </row>
    <row r="398" spans="5:25">
      <c r="E398" s="1130"/>
      <c r="F398" s="1130"/>
      <c r="G398" s="1130"/>
      <c r="H398" s="1130"/>
      <c r="I398" s="1130"/>
      <c r="J398" s="1130"/>
      <c r="K398" s="1130"/>
      <c r="L398" s="1130"/>
      <c r="M398" s="1130"/>
      <c r="N398" s="1130"/>
      <c r="O398" s="1130"/>
      <c r="P398" s="1130"/>
      <c r="Y398" s="1131"/>
    </row>
    <row r="399" spans="5:25">
      <c r="E399" s="1130"/>
      <c r="F399" s="1130"/>
      <c r="G399" s="1130"/>
      <c r="H399" s="1130"/>
      <c r="I399" s="1130"/>
      <c r="J399" s="1130"/>
      <c r="K399" s="1130"/>
      <c r="L399" s="1130"/>
      <c r="M399" s="1130"/>
      <c r="N399" s="1130"/>
      <c r="O399" s="1130"/>
      <c r="P399" s="1130"/>
      <c r="Y399" s="1131"/>
    </row>
    <row r="400" spans="5:25">
      <c r="E400" s="1130"/>
      <c r="F400" s="1130"/>
      <c r="G400" s="1130"/>
      <c r="H400" s="1130"/>
      <c r="I400" s="1130"/>
      <c r="J400" s="1130"/>
      <c r="K400" s="1130"/>
      <c r="L400" s="1130"/>
      <c r="M400" s="1130"/>
      <c r="N400" s="1130"/>
      <c r="O400" s="1130"/>
      <c r="P400" s="1130"/>
      <c r="Y400" s="1131"/>
    </row>
    <row r="401" spans="5:25">
      <c r="E401" s="1130"/>
      <c r="F401" s="1130"/>
      <c r="G401" s="1130"/>
      <c r="H401" s="1130"/>
      <c r="I401" s="1130"/>
      <c r="J401" s="1130"/>
      <c r="K401" s="1130"/>
      <c r="L401" s="1130"/>
      <c r="M401" s="1130"/>
      <c r="N401" s="1130"/>
      <c r="O401" s="1130"/>
      <c r="P401" s="1130"/>
      <c r="Y401" s="1131"/>
    </row>
    <row r="402" spans="5:25">
      <c r="E402" s="1130"/>
      <c r="F402" s="1130"/>
      <c r="G402" s="1130"/>
      <c r="H402" s="1130"/>
      <c r="I402" s="1130"/>
      <c r="J402" s="1130"/>
      <c r="K402" s="1130"/>
      <c r="L402" s="1130"/>
      <c r="M402" s="1130"/>
      <c r="N402" s="1130"/>
      <c r="O402" s="1130"/>
      <c r="P402" s="1130"/>
      <c r="Y402" s="1131"/>
    </row>
    <row r="403" spans="5:25">
      <c r="E403" s="1130"/>
      <c r="F403" s="1130"/>
      <c r="G403" s="1130"/>
      <c r="H403" s="1130"/>
      <c r="I403" s="1130"/>
      <c r="J403" s="1130"/>
      <c r="K403" s="1130"/>
      <c r="L403" s="1130"/>
      <c r="M403" s="1130"/>
      <c r="N403" s="1130"/>
      <c r="O403" s="1130"/>
      <c r="P403" s="1130"/>
      <c r="Y403" s="1131"/>
    </row>
    <row r="404" spans="5:25">
      <c r="E404" s="1130"/>
      <c r="F404" s="1130"/>
      <c r="G404" s="1130"/>
      <c r="H404" s="1130"/>
      <c r="I404" s="1130"/>
      <c r="J404" s="1130"/>
      <c r="K404" s="1130"/>
      <c r="L404" s="1130"/>
      <c r="M404" s="1130"/>
      <c r="N404" s="1130"/>
      <c r="O404" s="1130"/>
      <c r="P404" s="1130"/>
      <c r="Y404" s="1131"/>
    </row>
    <row r="405" spans="5:25">
      <c r="E405" s="1130"/>
      <c r="F405" s="1130"/>
      <c r="G405" s="1130"/>
      <c r="H405" s="1130"/>
      <c r="I405" s="1130"/>
      <c r="J405" s="1130"/>
      <c r="K405" s="1130"/>
      <c r="L405" s="1130"/>
      <c r="M405" s="1130"/>
      <c r="N405" s="1130"/>
      <c r="O405" s="1130"/>
      <c r="P405" s="1130"/>
      <c r="Y405" s="1131"/>
    </row>
    <row r="406" spans="5:25">
      <c r="E406" s="1130"/>
      <c r="F406" s="1130"/>
      <c r="G406" s="1130"/>
      <c r="H406" s="1130"/>
      <c r="I406" s="1130"/>
      <c r="J406" s="1130"/>
      <c r="K406" s="1130"/>
      <c r="L406" s="1130"/>
      <c r="M406" s="1130"/>
      <c r="N406" s="1130"/>
      <c r="O406" s="1130"/>
      <c r="P406" s="1130"/>
      <c r="Y406" s="1131"/>
    </row>
    <row r="407" spans="5:25">
      <c r="E407" s="1130"/>
      <c r="F407" s="1130"/>
      <c r="G407" s="1130"/>
      <c r="H407" s="1130"/>
      <c r="I407" s="1130"/>
      <c r="J407" s="1130"/>
      <c r="K407" s="1130"/>
      <c r="L407" s="1130"/>
      <c r="M407" s="1130"/>
      <c r="N407" s="1130"/>
      <c r="O407" s="1130"/>
      <c r="P407" s="1130"/>
      <c r="Y407" s="1131"/>
    </row>
    <row r="408" spans="5:25">
      <c r="E408" s="1130"/>
      <c r="F408" s="1130"/>
      <c r="G408" s="1130"/>
      <c r="H408" s="1130"/>
      <c r="I408" s="1130"/>
      <c r="J408" s="1130"/>
      <c r="K408" s="1130"/>
      <c r="L408" s="1130"/>
      <c r="M408" s="1130"/>
      <c r="N408" s="1130"/>
      <c r="O408" s="1130"/>
      <c r="P408" s="1130"/>
      <c r="Y408" s="1131"/>
    </row>
    <row r="409" spans="5:25">
      <c r="E409" s="1130"/>
      <c r="F409" s="1130"/>
      <c r="G409" s="1130"/>
      <c r="H409" s="1130"/>
      <c r="I409" s="1130"/>
      <c r="J409" s="1130"/>
      <c r="K409" s="1130"/>
      <c r="L409" s="1130"/>
      <c r="M409" s="1130"/>
      <c r="N409" s="1130"/>
      <c r="O409" s="1130"/>
      <c r="P409" s="1130"/>
      <c r="Y409" s="1131"/>
    </row>
    <row r="410" spans="5:25">
      <c r="E410" s="1130"/>
      <c r="F410" s="1130"/>
      <c r="G410" s="1130"/>
      <c r="H410" s="1130"/>
      <c r="I410" s="1130"/>
      <c r="J410" s="1130"/>
      <c r="K410" s="1130"/>
      <c r="L410" s="1130"/>
      <c r="M410" s="1130"/>
      <c r="N410" s="1130"/>
      <c r="O410" s="1130"/>
      <c r="P410" s="1130"/>
      <c r="Y410" s="1131"/>
    </row>
    <row r="411" spans="5:25">
      <c r="E411" s="1130"/>
      <c r="F411" s="1130"/>
      <c r="G411" s="1130"/>
      <c r="H411" s="1130"/>
      <c r="I411" s="1130"/>
      <c r="J411" s="1130"/>
      <c r="K411" s="1130"/>
      <c r="L411" s="1130"/>
      <c r="M411" s="1130"/>
      <c r="N411" s="1130"/>
      <c r="O411" s="1130"/>
      <c r="P411" s="1130"/>
      <c r="Y411" s="1131"/>
    </row>
    <row r="412" spans="5:25">
      <c r="E412" s="1130"/>
      <c r="F412" s="1130"/>
      <c r="G412" s="1130"/>
      <c r="H412" s="1130"/>
      <c r="I412" s="1130"/>
      <c r="J412" s="1130"/>
      <c r="K412" s="1130"/>
      <c r="L412" s="1130"/>
      <c r="M412" s="1130"/>
      <c r="N412" s="1130"/>
      <c r="O412" s="1130"/>
      <c r="P412" s="1130"/>
      <c r="Y412" s="1131"/>
    </row>
    <row r="413" spans="5:25">
      <c r="E413" s="1130"/>
      <c r="F413" s="1130"/>
      <c r="G413" s="1130"/>
      <c r="H413" s="1130"/>
      <c r="I413" s="1130"/>
      <c r="J413" s="1130"/>
      <c r="K413" s="1130"/>
      <c r="L413" s="1130"/>
      <c r="M413" s="1130"/>
      <c r="N413" s="1130"/>
      <c r="O413" s="1130"/>
      <c r="P413" s="1130"/>
      <c r="Y413" s="1131"/>
    </row>
    <row r="414" spans="5:25">
      <c r="E414" s="1130"/>
      <c r="F414" s="1130"/>
      <c r="G414" s="1130"/>
      <c r="H414" s="1130"/>
      <c r="I414" s="1130"/>
      <c r="J414" s="1130"/>
      <c r="K414" s="1130"/>
      <c r="L414" s="1130"/>
      <c r="M414" s="1130"/>
      <c r="N414" s="1130"/>
      <c r="O414" s="1130"/>
      <c r="P414" s="1130"/>
      <c r="Y414" s="1131"/>
    </row>
    <row r="415" spans="5:25">
      <c r="E415" s="1130"/>
      <c r="F415" s="1130"/>
      <c r="G415" s="1130"/>
      <c r="H415" s="1130"/>
      <c r="I415" s="1130"/>
      <c r="J415" s="1130"/>
      <c r="K415" s="1130"/>
      <c r="L415" s="1130"/>
      <c r="M415" s="1130"/>
      <c r="N415" s="1130"/>
      <c r="O415" s="1130"/>
      <c r="P415" s="1130"/>
      <c r="Y415" s="1131"/>
    </row>
    <row r="416" spans="5:25">
      <c r="E416" s="1130"/>
      <c r="F416" s="1130"/>
      <c r="G416" s="1130"/>
      <c r="H416" s="1130"/>
      <c r="I416" s="1130"/>
      <c r="J416" s="1130"/>
      <c r="K416" s="1130"/>
      <c r="L416" s="1130"/>
      <c r="M416" s="1130"/>
      <c r="N416" s="1130"/>
      <c r="O416" s="1130"/>
      <c r="P416" s="1130"/>
      <c r="Y416" s="1131"/>
    </row>
    <row r="417" spans="5:25">
      <c r="E417" s="1130"/>
      <c r="F417" s="1130"/>
      <c r="G417" s="1130"/>
      <c r="H417" s="1130"/>
      <c r="I417" s="1130"/>
      <c r="J417" s="1130"/>
      <c r="K417" s="1130"/>
      <c r="L417" s="1130"/>
      <c r="M417" s="1130"/>
      <c r="N417" s="1130"/>
      <c r="O417" s="1130"/>
      <c r="P417" s="1130"/>
      <c r="Y417" s="1131"/>
    </row>
    <row r="418" spans="5:25">
      <c r="E418" s="1130"/>
      <c r="F418" s="1130"/>
      <c r="G418" s="1130"/>
      <c r="H418" s="1130"/>
      <c r="I418" s="1130"/>
      <c r="J418" s="1130"/>
      <c r="K418" s="1130"/>
      <c r="L418" s="1130"/>
      <c r="M418" s="1130"/>
      <c r="N418" s="1130"/>
      <c r="O418" s="1130"/>
      <c r="P418" s="1130"/>
      <c r="Y418" s="1131"/>
    </row>
    <row r="419" spans="5:25">
      <c r="E419" s="1130"/>
      <c r="F419" s="1130"/>
      <c r="G419" s="1130"/>
      <c r="H419" s="1130"/>
      <c r="I419" s="1130"/>
      <c r="J419" s="1130"/>
      <c r="K419" s="1130"/>
      <c r="L419" s="1130"/>
      <c r="M419" s="1130"/>
      <c r="N419" s="1130"/>
      <c r="O419" s="1130"/>
      <c r="P419" s="1130"/>
      <c r="Y419" s="1131"/>
    </row>
    <row r="420" spans="5:25">
      <c r="E420" s="1130"/>
      <c r="F420" s="1130"/>
      <c r="G420" s="1130"/>
      <c r="H420" s="1130"/>
      <c r="I420" s="1130"/>
      <c r="J420" s="1130"/>
      <c r="K420" s="1130"/>
      <c r="L420" s="1130"/>
      <c r="M420" s="1130"/>
      <c r="N420" s="1130"/>
      <c r="O420" s="1130"/>
      <c r="P420" s="1130"/>
      <c r="Y420" s="1131"/>
    </row>
    <row r="421" spans="5:25">
      <c r="E421" s="1130"/>
      <c r="F421" s="1130"/>
      <c r="G421" s="1130"/>
      <c r="H421" s="1130"/>
      <c r="I421" s="1130"/>
      <c r="J421" s="1130"/>
      <c r="K421" s="1130"/>
      <c r="L421" s="1130"/>
      <c r="M421" s="1130"/>
      <c r="N421" s="1130"/>
      <c r="O421" s="1130"/>
      <c r="P421" s="1130"/>
      <c r="Y421" s="1131"/>
    </row>
    <row r="422" spans="5:25">
      <c r="E422" s="1130"/>
      <c r="F422" s="1130"/>
      <c r="G422" s="1130"/>
      <c r="H422" s="1130"/>
      <c r="I422" s="1130"/>
      <c r="J422" s="1130"/>
      <c r="K422" s="1130"/>
      <c r="L422" s="1130"/>
      <c r="M422" s="1130"/>
      <c r="N422" s="1130"/>
      <c r="O422" s="1130"/>
      <c r="P422" s="1130"/>
      <c r="Y422" s="1131"/>
    </row>
    <row r="423" spans="5:25">
      <c r="E423" s="1130"/>
      <c r="F423" s="1130"/>
      <c r="G423" s="1130"/>
      <c r="H423" s="1130"/>
      <c r="I423" s="1130"/>
      <c r="J423" s="1130"/>
      <c r="K423" s="1130"/>
      <c r="L423" s="1130"/>
      <c r="M423" s="1130"/>
      <c r="N423" s="1130"/>
      <c r="O423" s="1130"/>
      <c r="P423" s="1130"/>
      <c r="Y423" s="1131"/>
    </row>
    <row r="424" spans="5:25">
      <c r="E424" s="1130"/>
      <c r="F424" s="1130"/>
      <c r="G424" s="1130"/>
      <c r="H424" s="1130"/>
      <c r="I424" s="1130"/>
      <c r="J424" s="1130"/>
      <c r="K424" s="1130"/>
      <c r="L424" s="1130"/>
      <c r="M424" s="1130"/>
      <c r="N424" s="1130"/>
      <c r="O424" s="1130"/>
      <c r="P424" s="1130"/>
      <c r="Y424" s="1131"/>
    </row>
    <row r="425" spans="5:25">
      <c r="E425" s="1130"/>
      <c r="F425" s="1130"/>
      <c r="G425" s="1130"/>
      <c r="H425" s="1130"/>
      <c r="I425" s="1130"/>
      <c r="J425" s="1130"/>
      <c r="K425" s="1130"/>
      <c r="L425" s="1130"/>
      <c r="M425" s="1130"/>
      <c r="N425" s="1130"/>
      <c r="O425" s="1130"/>
      <c r="P425" s="1130"/>
      <c r="Y425" s="1131"/>
    </row>
    <row r="426" spans="5:25">
      <c r="E426" s="1130"/>
      <c r="F426" s="1130"/>
      <c r="G426" s="1130"/>
      <c r="H426" s="1130"/>
      <c r="I426" s="1130"/>
      <c r="J426" s="1130"/>
      <c r="K426" s="1130"/>
      <c r="L426" s="1130"/>
      <c r="M426" s="1130"/>
      <c r="N426" s="1130"/>
      <c r="O426" s="1130"/>
      <c r="P426" s="1130"/>
      <c r="Y426" s="1131"/>
    </row>
    <row r="427" spans="5:25">
      <c r="E427" s="1130"/>
      <c r="F427" s="1130"/>
      <c r="G427" s="1130"/>
      <c r="H427" s="1130"/>
      <c r="I427" s="1130"/>
      <c r="J427" s="1130"/>
      <c r="K427" s="1130"/>
      <c r="L427" s="1130"/>
      <c r="M427" s="1130"/>
      <c r="N427" s="1130"/>
      <c r="O427" s="1130"/>
      <c r="P427" s="1130"/>
      <c r="Y427" s="1131"/>
    </row>
    <row r="428" spans="5:25">
      <c r="E428" s="1130"/>
      <c r="F428" s="1130"/>
      <c r="G428" s="1130"/>
      <c r="H428" s="1130"/>
      <c r="I428" s="1130"/>
      <c r="J428" s="1130"/>
      <c r="K428" s="1130"/>
      <c r="L428" s="1130"/>
      <c r="M428" s="1130"/>
      <c r="N428" s="1130"/>
      <c r="O428" s="1130"/>
      <c r="P428" s="1130"/>
      <c r="Y428" s="1131"/>
    </row>
    <row r="429" spans="5:25">
      <c r="E429" s="1130"/>
      <c r="F429" s="1130"/>
      <c r="G429" s="1130"/>
      <c r="H429" s="1130"/>
      <c r="I429" s="1130"/>
      <c r="J429" s="1130"/>
      <c r="K429" s="1130"/>
      <c r="L429" s="1130"/>
      <c r="M429" s="1130"/>
      <c r="N429" s="1130"/>
      <c r="O429" s="1130"/>
      <c r="P429" s="1130"/>
      <c r="Y429" s="1131"/>
    </row>
    <row r="430" spans="5:25">
      <c r="E430" s="1130"/>
      <c r="F430" s="1130"/>
      <c r="G430" s="1130"/>
      <c r="H430" s="1130"/>
      <c r="I430" s="1130"/>
      <c r="J430" s="1130"/>
      <c r="K430" s="1130"/>
      <c r="L430" s="1130"/>
      <c r="M430" s="1130"/>
      <c r="N430" s="1130"/>
      <c r="O430" s="1130"/>
      <c r="P430" s="1130"/>
      <c r="Y430" s="1131"/>
    </row>
    <row r="431" spans="5:25">
      <c r="E431" s="1130"/>
      <c r="F431" s="1130"/>
      <c r="G431" s="1130"/>
      <c r="H431" s="1130"/>
      <c r="I431" s="1130"/>
      <c r="J431" s="1130"/>
      <c r="K431" s="1130"/>
      <c r="L431" s="1130"/>
      <c r="M431" s="1130"/>
      <c r="N431" s="1130"/>
      <c r="O431" s="1130"/>
      <c r="P431" s="1130"/>
      <c r="Y431" s="1131"/>
    </row>
    <row r="432" spans="5:25">
      <c r="E432" s="1130"/>
      <c r="F432" s="1130"/>
      <c r="G432" s="1130"/>
      <c r="H432" s="1130"/>
      <c r="I432" s="1130"/>
      <c r="J432" s="1130"/>
      <c r="K432" s="1130"/>
      <c r="L432" s="1130"/>
      <c r="M432" s="1130"/>
      <c r="N432" s="1130"/>
      <c r="O432" s="1130"/>
      <c r="P432" s="1130"/>
      <c r="Y432" s="1131"/>
    </row>
    <row r="433" spans="5:25">
      <c r="E433" s="1130"/>
      <c r="F433" s="1130"/>
      <c r="G433" s="1130"/>
      <c r="H433" s="1130"/>
      <c r="I433" s="1130"/>
      <c r="J433" s="1130"/>
      <c r="K433" s="1130"/>
      <c r="L433" s="1130"/>
      <c r="M433" s="1130"/>
      <c r="N433" s="1130"/>
      <c r="O433" s="1130"/>
      <c r="P433" s="1130"/>
      <c r="Y433" s="1131"/>
    </row>
    <row r="434" spans="5:25">
      <c r="E434" s="1130"/>
      <c r="F434" s="1130"/>
      <c r="G434" s="1130"/>
      <c r="H434" s="1130"/>
      <c r="I434" s="1130"/>
      <c r="J434" s="1130"/>
      <c r="K434" s="1130"/>
      <c r="L434" s="1130"/>
      <c r="M434" s="1130"/>
      <c r="N434" s="1130"/>
      <c r="O434" s="1130"/>
      <c r="P434" s="1130"/>
      <c r="Y434" s="1131"/>
    </row>
    <row r="435" spans="5:25">
      <c r="E435" s="1130"/>
      <c r="F435" s="1130"/>
      <c r="G435" s="1130"/>
      <c r="H435" s="1130"/>
      <c r="I435" s="1130"/>
      <c r="J435" s="1130"/>
      <c r="K435" s="1130"/>
      <c r="L435" s="1130"/>
      <c r="M435" s="1130"/>
      <c r="N435" s="1130"/>
      <c r="O435" s="1130"/>
      <c r="P435" s="1130"/>
      <c r="Y435" s="1131"/>
    </row>
    <row r="436" spans="5:25">
      <c r="E436" s="1130"/>
      <c r="F436" s="1130"/>
      <c r="G436" s="1130"/>
      <c r="H436" s="1130"/>
      <c r="I436" s="1130"/>
      <c r="J436" s="1130"/>
      <c r="K436" s="1130"/>
      <c r="L436" s="1130"/>
      <c r="M436" s="1130"/>
      <c r="N436" s="1130"/>
      <c r="O436" s="1130"/>
      <c r="P436" s="1130"/>
      <c r="Y436" s="1131"/>
    </row>
    <row r="437" spans="5:25">
      <c r="E437" s="1130"/>
      <c r="F437" s="1130"/>
      <c r="G437" s="1130"/>
      <c r="H437" s="1130"/>
      <c r="I437" s="1130"/>
      <c r="J437" s="1130"/>
      <c r="K437" s="1130"/>
      <c r="L437" s="1130"/>
      <c r="M437" s="1130"/>
      <c r="N437" s="1130"/>
      <c r="O437" s="1130"/>
      <c r="P437" s="1130"/>
      <c r="Y437" s="1131"/>
    </row>
    <row r="438" spans="5:25">
      <c r="E438" s="1130"/>
      <c r="F438" s="1130"/>
      <c r="G438" s="1130"/>
      <c r="H438" s="1130"/>
      <c r="I438" s="1130"/>
      <c r="J438" s="1130"/>
      <c r="K438" s="1130"/>
      <c r="L438" s="1130"/>
      <c r="M438" s="1130"/>
      <c r="N438" s="1130"/>
      <c r="O438" s="1130"/>
      <c r="P438" s="1130"/>
      <c r="Y438" s="1131"/>
    </row>
    <row r="439" spans="5:25">
      <c r="E439" s="1130"/>
      <c r="F439" s="1130"/>
      <c r="G439" s="1130"/>
      <c r="H439" s="1130"/>
      <c r="I439" s="1130"/>
      <c r="J439" s="1130"/>
      <c r="K439" s="1130"/>
      <c r="L439" s="1130"/>
      <c r="M439" s="1130"/>
      <c r="N439" s="1130"/>
      <c r="O439" s="1130"/>
      <c r="P439" s="1130"/>
      <c r="Y439" s="1131"/>
    </row>
    <row r="440" spans="5:25">
      <c r="E440" s="1130"/>
      <c r="F440" s="1130"/>
      <c r="G440" s="1130"/>
      <c r="H440" s="1130"/>
      <c r="I440" s="1130"/>
      <c r="J440" s="1130"/>
      <c r="K440" s="1130"/>
      <c r="L440" s="1130"/>
      <c r="M440" s="1130"/>
      <c r="N440" s="1130"/>
      <c r="O440" s="1130"/>
      <c r="P440" s="1130"/>
      <c r="Y440" s="1131"/>
    </row>
    <row r="441" spans="5:25">
      <c r="E441" s="1130"/>
      <c r="F441" s="1130"/>
      <c r="G441" s="1130"/>
      <c r="H441" s="1130"/>
      <c r="I441" s="1130"/>
      <c r="J441" s="1130"/>
      <c r="K441" s="1130"/>
      <c r="L441" s="1130"/>
      <c r="M441" s="1130"/>
      <c r="N441" s="1130"/>
      <c r="O441" s="1130"/>
      <c r="P441" s="1130"/>
      <c r="Y441" s="1131"/>
    </row>
    <row r="442" spans="5:25">
      <c r="E442" s="1130"/>
      <c r="F442" s="1130"/>
      <c r="G442" s="1130"/>
      <c r="H442" s="1130"/>
      <c r="I442" s="1130"/>
      <c r="J442" s="1130"/>
      <c r="K442" s="1130"/>
      <c r="L442" s="1130"/>
      <c r="M442" s="1130"/>
      <c r="N442" s="1130"/>
      <c r="O442" s="1130"/>
      <c r="P442" s="1130"/>
      <c r="Y442" s="1131"/>
    </row>
    <row r="443" spans="5:25">
      <c r="E443" s="1130"/>
      <c r="F443" s="1130"/>
      <c r="G443" s="1130"/>
      <c r="H443" s="1130"/>
      <c r="I443" s="1130"/>
      <c r="J443" s="1130"/>
      <c r="K443" s="1130"/>
      <c r="L443" s="1130"/>
      <c r="M443" s="1130"/>
      <c r="N443" s="1130"/>
      <c r="O443" s="1130"/>
      <c r="P443" s="1130"/>
      <c r="Y443" s="1131"/>
    </row>
    <row r="444" spans="5:25">
      <c r="E444" s="1130"/>
      <c r="F444" s="1130"/>
      <c r="G444" s="1130"/>
      <c r="H444" s="1130"/>
      <c r="I444" s="1130"/>
      <c r="J444" s="1130"/>
      <c r="K444" s="1130"/>
      <c r="L444" s="1130"/>
      <c r="M444" s="1130"/>
      <c r="N444" s="1130"/>
      <c r="O444" s="1130"/>
      <c r="P444" s="1130"/>
      <c r="Y444" s="1131"/>
    </row>
    <row r="445" spans="5:25">
      <c r="E445" s="1130"/>
      <c r="F445" s="1130"/>
      <c r="G445" s="1130"/>
      <c r="H445" s="1130"/>
      <c r="I445" s="1130"/>
      <c r="J445" s="1130"/>
      <c r="K445" s="1130"/>
      <c r="L445" s="1130"/>
      <c r="M445" s="1130"/>
      <c r="N445" s="1130"/>
      <c r="O445" s="1130"/>
      <c r="P445" s="1130"/>
      <c r="Y445" s="1131"/>
    </row>
    <row r="446" spans="5:25">
      <c r="E446" s="1130"/>
      <c r="F446" s="1130"/>
      <c r="G446" s="1130"/>
      <c r="H446" s="1130"/>
      <c r="I446" s="1130"/>
      <c r="J446" s="1130"/>
      <c r="K446" s="1130"/>
      <c r="L446" s="1130"/>
      <c r="M446" s="1130"/>
      <c r="N446" s="1130"/>
      <c r="O446" s="1130"/>
      <c r="P446" s="1130"/>
      <c r="Y446" s="1131"/>
    </row>
    <row r="447" spans="5:25">
      <c r="E447" s="1130"/>
      <c r="F447" s="1130"/>
      <c r="G447" s="1130"/>
      <c r="H447" s="1130"/>
      <c r="I447" s="1130"/>
      <c r="J447" s="1130"/>
      <c r="K447" s="1130"/>
      <c r="L447" s="1130"/>
      <c r="M447" s="1130"/>
      <c r="N447" s="1130"/>
      <c r="O447" s="1130"/>
      <c r="P447" s="1130"/>
      <c r="Y447" s="1131"/>
    </row>
    <row r="448" spans="5:25">
      <c r="E448" s="1130"/>
      <c r="F448" s="1130"/>
      <c r="G448" s="1130"/>
      <c r="H448" s="1130"/>
      <c r="I448" s="1130"/>
      <c r="J448" s="1130"/>
      <c r="K448" s="1130"/>
      <c r="L448" s="1130"/>
      <c r="M448" s="1130"/>
      <c r="N448" s="1130"/>
      <c r="O448" s="1130"/>
      <c r="P448" s="1130"/>
      <c r="Y448" s="1131"/>
    </row>
  </sheetData>
  <mergeCells count="33">
    <mergeCell ref="A58:A61"/>
    <mergeCell ref="Y58:Y61"/>
    <mergeCell ref="C60:C61"/>
    <mergeCell ref="Y48:Y57"/>
    <mergeCell ref="C52:C54"/>
    <mergeCell ref="X55:X57"/>
    <mergeCell ref="C56:C57"/>
    <mergeCell ref="A38:A46"/>
    <mergeCell ref="Y38:Y46"/>
    <mergeCell ref="C40:C43"/>
    <mergeCell ref="C45:C46"/>
    <mergeCell ref="X44:X46"/>
    <mergeCell ref="A29:A37"/>
    <mergeCell ref="Y29:Y37"/>
    <mergeCell ref="C31:C34"/>
    <mergeCell ref="C36:C37"/>
    <mergeCell ref="X35:X37"/>
    <mergeCell ref="A20:A28"/>
    <mergeCell ref="Y20:Y28"/>
    <mergeCell ref="C22:C25"/>
    <mergeCell ref="C27:C28"/>
    <mergeCell ref="X17:X19"/>
    <mergeCell ref="X26:X28"/>
    <mergeCell ref="A4:Y4"/>
    <mergeCell ref="B5:B7"/>
    <mergeCell ref="C5:C7"/>
    <mergeCell ref="D5:D7"/>
    <mergeCell ref="E5:L6"/>
    <mergeCell ref="Y5:Y7"/>
    <mergeCell ref="X5:X7"/>
    <mergeCell ref="M5:M6"/>
    <mergeCell ref="O5:O6"/>
    <mergeCell ref="P5:W6"/>
  </mergeCells>
  <printOptions horizontalCentered="1"/>
  <pageMargins left="0.31496062992125984" right="0.31496062992125984" top="0.59055118110236227" bottom="0.35433070866141736" header="0.31496062992125984" footer="0.11811023622047245"/>
  <pageSetup paperSize="9" scale="70" firstPageNumber="59" orientation="landscape" useFirstPageNumber="1" r:id="rId1"/>
  <headerFooter>
    <oddHeader>&amp;C&amp;"Arial,Kursywa"Wieloletnia prognoza finansowa Województwa Zachodniopomorskiego na lata 2016-2038&amp;"Arial,Normalny"
____________________________________________________________________________________________________________________</oddHeader>
    <oddFooter>&amp;C&amp;9&amp;P</oddFooter>
  </headerFooter>
  <rowBreaks count="1" manualBreakCount="1">
    <brk id="61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5"/>
  </sheetPr>
  <dimension ref="A1:AA1008"/>
  <sheetViews>
    <sheetView topLeftCell="A4" zoomScaleNormal="100" zoomScaleSheetLayoutView="90" workbookViewId="0">
      <pane xSplit="10" ySplit="3" topLeftCell="K7" activePane="bottomRight" state="frozen"/>
      <selection activeCell="A4" sqref="A4"/>
      <selection pane="topRight" activeCell="K4" sqref="K4"/>
      <selection pane="bottomLeft" activeCell="A7" sqref="A7"/>
      <selection pane="bottomRight" activeCell="M25" sqref="M25"/>
    </sheetView>
  </sheetViews>
  <sheetFormatPr defaultColWidth="9.140625" defaultRowHeight="12.75" outlineLevelCol="1"/>
  <cols>
    <col min="1" max="1" width="13.28515625" style="919" customWidth="1"/>
    <col min="2" max="2" width="35.85546875" style="900" customWidth="1"/>
    <col min="3" max="3" width="11.28515625" style="900" hidden="1" customWidth="1"/>
    <col min="4" max="4" width="11.5703125" style="938" hidden="1" customWidth="1"/>
    <col min="5" max="5" width="11.5703125" style="939" hidden="1" customWidth="1"/>
    <col min="6" max="6" width="12.85546875" style="939" hidden="1" customWidth="1"/>
    <col min="7" max="7" width="12.42578125" style="940" hidden="1" customWidth="1"/>
    <col min="8" max="10" width="12.140625" style="920" hidden="1" customWidth="1"/>
    <col min="11" max="11" width="12.7109375" style="920" customWidth="1"/>
    <col min="12" max="12" width="0.28515625" style="1623" hidden="1" customWidth="1"/>
    <col min="13" max="13" width="12.85546875" style="920" customWidth="1"/>
    <col min="14" max="21" width="12.7109375" style="920" customWidth="1"/>
    <col min="22" max="22" width="14" style="900" customWidth="1"/>
    <col min="23" max="23" width="14.42578125" style="900" customWidth="1"/>
    <col min="24" max="24" width="14.85546875" style="899" bestFit="1" customWidth="1"/>
    <col min="25" max="25" width="11.85546875" style="328" hidden="1" customWidth="1" outlineLevel="1"/>
    <col min="26" max="26" width="13.28515625" style="328" hidden="1" customWidth="1" outlineLevel="1"/>
    <col min="27" max="27" width="20.140625" style="900" customWidth="1" collapsed="1"/>
    <col min="28" max="29" width="9.140625" style="900"/>
    <col min="30" max="30" width="9.7109375" style="900" bestFit="1" customWidth="1"/>
    <col min="31" max="16384" width="9.140625" style="900"/>
  </cols>
  <sheetData>
    <row r="1" spans="1:27" ht="68.25" customHeight="1">
      <c r="A1" s="4744" t="s">
        <v>272</v>
      </c>
      <c r="B1" s="4744"/>
      <c r="C1" s="4744"/>
      <c r="D1" s="4744"/>
      <c r="E1" s="4744"/>
      <c r="F1" s="4744"/>
      <c r="G1" s="4744"/>
      <c r="H1" s="4744"/>
      <c r="I1" s="4744"/>
      <c r="J1" s="4744"/>
      <c r="K1" s="4744"/>
      <c r="L1" s="4744"/>
      <c r="M1" s="4744"/>
      <c r="N1" s="4744"/>
      <c r="O1" s="4744"/>
      <c r="P1" s="4744"/>
      <c r="Q1" s="4744"/>
      <c r="R1" s="4744"/>
      <c r="S1" s="4744"/>
      <c r="T1" s="4744"/>
      <c r="U1" s="4744"/>
      <c r="V1" s="4744"/>
      <c r="W1" s="4745"/>
    </row>
    <row r="2" spans="1:27" ht="15.75" customHeight="1" thickBot="1">
      <c r="A2" s="901"/>
      <c r="B2" s="901"/>
      <c r="C2" s="901"/>
      <c r="D2" s="901"/>
      <c r="E2" s="901"/>
      <c r="F2" s="901"/>
      <c r="G2" s="901"/>
      <c r="H2" s="901"/>
      <c r="I2" s="901"/>
      <c r="J2" s="1614"/>
      <c r="K2" s="1191"/>
      <c r="L2" s="1620"/>
      <c r="M2" s="901"/>
      <c r="N2" s="901"/>
      <c r="O2" s="901"/>
      <c r="P2" s="901"/>
      <c r="Q2" s="1191"/>
      <c r="R2" s="1191"/>
      <c r="S2" s="1614"/>
      <c r="T2" s="1614"/>
      <c r="U2" s="1614"/>
      <c r="V2" s="901"/>
      <c r="W2" s="902"/>
    </row>
    <row r="3" spans="1:27" ht="24" customHeight="1">
      <c r="A3" s="4746" t="s">
        <v>5</v>
      </c>
      <c r="B3" s="4747"/>
      <c r="C3" s="4760" t="s">
        <v>3</v>
      </c>
      <c r="D3" s="4760"/>
      <c r="E3" s="4760"/>
      <c r="F3" s="4760"/>
      <c r="G3" s="4760"/>
      <c r="H3" s="4760"/>
      <c r="I3" s="4760"/>
      <c r="J3" s="3995"/>
      <c r="K3" s="4756" t="s">
        <v>3</v>
      </c>
      <c r="L3" s="4757"/>
      <c r="M3" s="4757"/>
      <c r="N3" s="3980" t="s">
        <v>509</v>
      </c>
      <c r="O3" s="3978"/>
      <c r="P3" s="3978"/>
      <c r="Q3" s="3978"/>
      <c r="R3" s="3978"/>
      <c r="S3" s="3978"/>
      <c r="T3" s="3978"/>
      <c r="U3" s="3981"/>
      <c r="V3" s="4752" t="s">
        <v>4</v>
      </c>
      <c r="W3" s="3992" t="s">
        <v>508</v>
      </c>
    </row>
    <row r="4" spans="1:27" ht="15.75" customHeight="1">
      <c r="A4" s="4748"/>
      <c r="B4" s="4749"/>
      <c r="C4" s="4761"/>
      <c r="D4" s="4761"/>
      <c r="E4" s="4761"/>
      <c r="F4" s="4761"/>
      <c r="G4" s="4761"/>
      <c r="H4" s="4761"/>
      <c r="I4" s="4761"/>
      <c r="J4" s="3996"/>
      <c r="K4" s="4758"/>
      <c r="L4" s="4759"/>
      <c r="M4" s="4759"/>
      <c r="N4" s="3982"/>
      <c r="O4" s="3979"/>
      <c r="P4" s="3979"/>
      <c r="Q4" s="3979"/>
      <c r="R4" s="3979"/>
      <c r="S4" s="3979"/>
      <c r="T4" s="3979"/>
      <c r="U4" s="3983"/>
      <c r="V4" s="4753"/>
      <c r="W4" s="3993"/>
    </row>
    <row r="5" spans="1:27" ht="18.75" customHeight="1" thickBot="1">
      <c r="A5" s="4750"/>
      <c r="B5" s="4751"/>
      <c r="C5" s="903" t="s">
        <v>6</v>
      </c>
      <c r="D5" s="904" t="s">
        <v>7</v>
      </c>
      <c r="E5" s="904" t="s">
        <v>8</v>
      </c>
      <c r="F5" s="904" t="s">
        <v>9</v>
      </c>
      <c r="G5" s="11" t="s">
        <v>10</v>
      </c>
      <c r="H5" s="11" t="s">
        <v>11</v>
      </c>
      <c r="I5" s="11" t="s">
        <v>12</v>
      </c>
      <c r="J5" s="905" t="s">
        <v>13</v>
      </c>
      <c r="K5" s="12" t="s">
        <v>500</v>
      </c>
      <c r="L5" s="1621" t="s">
        <v>14</v>
      </c>
      <c r="M5" s="12" t="s">
        <v>15</v>
      </c>
      <c r="N5" s="12" t="s">
        <v>16</v>
      </c>
      <c r="O5" s="13" t="s">
        <v>17</v>
      </c>
      <c r="P5" s="13" t="s">
        <v>18</v>
      </c>
      <c r="Q5" s="13" t="s">
        <v>376</v>
      </c>
      <c r="R5" s="13" t="s">
        <v>381</v>
      </c>
      <c r="S5" s="13" t="s">
        <v>491</v>
      </c>
      <c r="T5" s="13" t="s">
        <v>492</v>
      </c>
      <c r="U5" s="13" t="s">
        <v>490</v>
      </c>
      <c r="V5" s="4753"/>
      <c r="W5" s="3993"/>
    </row>
    <row r="6" spans="1:27" s="912" customFormat="1" ht="14.25" customHeight="1" thickBot="1">
      <c r="A6" s="4754">
        <v>1</v>
      </c>
      <c r="B6" s="4755"/>
      <c r="C6" s="906" t="s">
        <v>148</v>
      </c>
      <c r="D6" s="907">
        <v>3</v>
      </c>
      <c r="E6" s="908">
        <v>4</v>
      </c>
      <c r="F6" s="908">
        <v>5</v>
      </c>
      <c r="G6" s="909" t="s">
        <v>149</v>
      </c>
      <c r="H6" s="909" t="s">
        <v>150</v>
      </c>
      <c r="I6" s="909" t="s">
        <v>151</v>
      </c>
      <c r="J6" s="909" t="s">
        <v>152</v>
      </c>
      <c r="K6" s="1279">
        <v>2</v>
      </c>
      <c r="L6" s="1622" t="s">
        <v>493</v>
      </c>
      <c r="M6" s="909">
        <v>4</v>
      </c>
      <c r="N6" s="909">
        <v>5</v>
      </c>
      <c r="O6" s="910">
        <v>6</v>
      </c>
      <c r="P6" s="910">
        <v>7</v>
      </c>
      <c r="Q6" s="910">
        <v>8</v>
      </c>
      <c r="R6" s="910">
        <v>9</v>
      </c>
      <c r="S6" s="910">
        <v>10</v>
      </c>
      <c r="T6" s="910">
        <v>11</v>
      </c>
      <c r="U6" s="910">
        <v>12</v>
      </c>
      <c r="V6" s="910">
        <v>13</v>
      </c>
      <c r="W6" s="1645">
        <v>14</v>
      </c>
      <c r="X6" s="911"/>
      <c r="Y6" s="856"/>
      <c r="Z6" s="856"/>
    </row>
    <row r="7" spans="1:27" s="915" customFormat="1" ht="24.75" customHeight="1" thickBot="1">
      <c r="A7" s="4742" t="s">
        <v>273</v>
      </c>
      <c r="B7" s="4743"/>
      <c r="C7" s="1627">
        <f>+'Tab. 6A -Drogi'!E36+'Tab. 6B Polit społ i rozwój prz'!E174+'Tab. 6B Polit społ i rozwój prz'!E186+'Tab. 6E - Administracja'!E72+'Tab. 6E - Administracja'!E84+'Tab. 6E - Administracja'!E105+'Tab. 6H - Kultura fiz. i turyst'!E56+'Tab. 6H - Kultura fiz. i turyst'!E49+'Tab. 6H - Kultura fiz. i turyst'!E65+'Tab. 6H - Kultura fiz. i turyst'!E72+'Tab. 6B Polit społ i rozwój prz'!E198+'Tab. 6H - Kultura fiz. i turyst'!E79+'Tab. 6H - Kultura fiz. i turyst'!E95</f>
        <v>11511967</v>
      </c>
      <c r="D7" s="1627">
        <f>+'Tab. 6A -Drogi'!F36+'Tab. 6B Polit społ i rozwój prz'!F174+'Tab. 6B Polit społ i rozwój prz'!F186+'Tab. 6E - Administracja'!F72+'Tab. 6E - Administracja'!F84+'Tab. 6E - Administracja'!F105+'Tab. 6H - Kultura fiz. i turyst'!F56+'Tab. 6H - Kultura fiz. i turyst'!F49+'Tab. 6H - Kultura fiz. i turyst'!F65+'Tab. 6H - Kultura fiz. i turyst'!F72+'Tab. 6B Polit społ i rozwój prz'!F198+'Tab. 6H - Kultura fiz. i turyst'!F79+'Tab. 6H - Kultura fiz. i turyst'!F95</f>
        <v>1512632</v>
      </c>
      <c r="E7" s="1627">
        <f>+'Tab. 6A -Drogi'!G36+'Tab. 6B Polit społ i rozwój prz'!G174+'Tab. 6B Polit społ i rozwój prz'!G186+'Tab. 6E - Administracja'!G72+'Tab. 6E - Administracja'!G84+'Tab. 6E - Administracja'!G105+'Tab. 6H - Kultura fiz. i turyst'!G56+'Tab. 6H - Kultura fiz. i turyst'!G49+'Tab. 6H - Kultura fiz. i turyst'!G65+'Tab. 6H - Kultura fiz. i turyst'!G72+'Tab. 6B Polit społ i rozwój prz'!G198+'Tab. 6H - Kultura fiz. i turyst'!G79+'Tab. 6H - Kultura fiz. i turyst'!G95</f>
        <v>2923789</v>
      </c>
      <c r="F7" s="1627">
        <f>+'Tab. 6A -Drogi'!H36+'Tab. 6B Polit społ i rozwój prz'!H174+'Tab. 6B Polit społ i rozwój prz'!H186+'Tab. 6E - Administracja'!H72+'Tab. 6E - Administracja'!H84+'Tab. 6E - Administracja'!H105+'Tab. 6H - Kultura fiz. i turyst'!H56+'Tab. 6H - Kultura fiz. i turyst'!H49+'Tab. 6H - Kultura fiz. i turyst'!H65+'Tab. 6H - Kultura fiz. i turyst'!H72+'Tab. 6B Polit społ i rozwój prz'!H198+'Tab. 6H - Kultura fiz. i turyst'!H79+'Tab. 6H - Kultura fiz. i turyst'!H95</f>
        <v>6820026</v>
      </c>
      <c r="G7" s="1627">
        <f>+'Tab. 6A -Drogi'!I36+'Tab. 6B Polit społ i rozwój prz'!I174+'Tab. 6B Polit społ i rozwój prz'!I186+'Tab. 6E - Administracja'!I72+'Tab. 6E - Administracja'!I84+'Tab. 6E - Administracja'!I105+'Tab. 6H - Kultura fiz. i turyst'!I56+'Tab. 6H - Kultura fiz. i turyst'!I49+'Tab. 6H - Kultura fiz. i turyst'!I65+'Tab. 6H - Kultura fiz. i turyst'!I72+'Tab. 6B Polit społ i rozwój prz'!I198+'Tab. 6H - Kultura fiz. i turyst'!I79+'Tab. 6H - Kultura fiz. i turyst'!I95</f>
        <v>25131161</v>
      </c>
      <c r="H7" s="1627">
        <f>+'Tab. 6A -Drogi'!J36+'Tab. 6B Polit społ i rozwój prz'!J174+'Tab. 6B Polit społ i rozwój prz'!J186+'Tab. 6E - Administracja'!J72+'Tab. 6E - Administracja'!J84+'Tab. 6E - Administracja'!J105+'Tab. 6H - Kultura fiz. i turyst'!J56+'Tab. 6H - Kultura fiz. i turyst'!J49+'Tab. 6H - Kultura fiz. i turyst'!J65+'Tab. 6H - Kultura fiz. i turyst'!J72+'Tab. 6B Polit społ i rozwój prz'!J198+'Tab. 6H - Kultura fiz. i turyst'!J79+'Tab. 6H - Kultura fiz. i turyst'!J95</f>
        <v>52087251</v>
      </c>
      <c r="I7" s="1627">
        <f>+'Tab. 6A -Drogi'!K36+'Tab. 6B Polit społ i rozwój prz'!K174+'Tab. 6B Polit społ i rozwój prz'!K186+'Tab. 6E - Administracja'!K72+'Tab. 6E - Administracja'!K84+'Tab. 6E - Administracja'!K105+'Tab. 6H - Kultura fiz. i turyst'!K56+'Tab. 6H - Kultura fiz. i turyst'!K49+'Tab. 6H - Kultura fiz. i turyst'!K65+'Tab. 6H - Kultura fiz. i turyst'!K72+'Tab. 6B Polit społ i rozwój prz'!K198+'Tab. 6H - Kultura fiz. i turyst'!K79+'Tab. 6H - Kultura fiz. i turyst'!K95</f>
        <v>97540845</v>
      </c>
      <c r="J7" s="1627">
        <f>+'Tab. 6A -Drogi'!L36+'Tab. 6B Polit społ i rozwój prz'!L174+'Tab. 6B Polit społ i rozwój prz'!L186+'Tab. 6E - Administracja'!L72+'Tab. 6E - Administracja'!L84+'Tab. 6E - Administracja'!L105+'Tab. 6H - Kultura fiz. i turyst'!L56+'Tab. 6H - Kultura fiz. i turyst'!L49+'Tab. 6H - Kultura fiz. i turyst'!L65+'Tab. 6H - Kultura fiz. i turyst'!L72+'Tab. 6B Polit społ i rozwój prz'!L198+'Tab. 6H - Kultura fiz. i turyst'!L79+'Tab. 6H - Kultura fiz. i turyst'!L95</f>
        <v>108157412</v>
      </c>
      <c r="K7" s="1627">
        <f>'Tab. 6A -Drogi'!M36+'Tab. 6B Polit społ i rozwój prz'!M174+'Tab. 6B Polit społ i rozwój prz'!M186+'Tab. 6B Polit społ i rozwój prz'!M198+'Tab. 6E - Administracja'!M72+'Tab. 6E - Administracja'!M84+'Tab. 6E - Administracja'!M105+'Tab. 6E - Administracja'!M114-'Tab. 6E - Administracja'!M122+'Tab. 6E - Administracja'!M138-'Tab. 6E - Administracja'!M140+'Tab. 6H - Kultura fiz. i turyst'!M49+'Tab. 6H - Kultura fiz. i turyst'!M56+'Tab. 6H - Kultura fiz. i turyst'!M65+'Tab. 6H - Kultura fiz. i turyst'!M72+'Tab. 6H - Kultura fiz. i turyst'!M79+'Tab. 6H - Kultura fiz. i turyst'!M88+'Tab. 6H - Kultura fiz. i turyst'!M95+'Tab. 6H - Kultura fiz. i turyst'!M111</f>
        <v>416567319</v>
      </c>
      <c r="L7" s="1627">
        <f>+'Tab. 6A -Drogi'!N36+'Tab. 6B Polit społ i rozwój prz'!N174+'Tab. 6B Polit społ i rozwój prz'!N186+'Tab. 6E - Administracja'!N72+'Tab. 6E - Administracja'!N84+'Tab. 6E - Administracja'!N105+'Tab. 6H - Kultura fiz. i turyst'!N56+'Tab. 6H - Kultura fiz. i turyst'!N49+'Tab. 6H - Kultura fiz. i turyst'!N65+'Tab. 6H - Kultura fiz. i turyst'!N72+'Tab. 6B Polit społ i rozwój prz'!N198+'Tab. 6H - Kultura fiz. i turyst'!N79+'Tab. 6H - Kultura fiz. i turyst'!N95-'Tab. 6E - Administracja'!N122+'Tab. 6E - Administracja'!N114+'Tab. 6E - Administracja'!N138-'Tab. 6E - Administracja'!N140</f>
        <v>122609464</v>
      </c>
      <c r="M7" s="1627">
        <f>'Tab. 6A -Drogi'!O36+'Tab. 6B Polit społ i rozwój prz'!O174+'Tab. 6B Polit społ i rozwój prz'!O186+'Tab. 6B Polit społ i rozwój prz'!O198+'Tab. 6E - Administracja'!O72+'Tab. 6E - Administracja'!O84+'Tab. 6E - Administracja'!O105+'Tab. 6E - Administracja'!O114-'Tab. 6E - Administracja'!O122+'Tab. 6E - Administracja'!O138-'Tab. 6E - Administracja'!O140+'Tab. 6H - Kultura fiz. i turyst'!O49+'Tab. 6H - Kultura fiz. i turyst'!O56+'Tab. 6H - Kultura fiz. i turyst'!O65+'Tab. 6H - Kultura fiz. i turyst'!O72+'Tab. 6H - Kultura fiz. i turyst'!O79+'Tab. 6H - Kultura fiz. i turyst'!O88+'Tab. 6H - Kultura fiz. i turyst'!O95+'Tab. 6H - Kultura fiz. i turyst'!O111</f>
        <v>108187896</v>
      </c>
      <c r="N7" s="1627">
        <f>'Tab. 6A -Drogi'!P36+'Tab. 6B Polit społ i rozwój prz'!P174+'Tab. 6B Polit społ i rozwój prz'!P186+'Tab. 6B Polit społ i rozwój prz'!P198+'Tab. 6E - Administracja'!P72+'Tab. 6E - Administracja'!P84+'Tab. 6E - Administracja'!P105+'Tab. 6E - Administracja'!P114-'Tab. 6E - Administracja'!P122+'Tab. 6E - Administracja'!P138-'Tab. 6E - Administracja'!P140+'Tab. 6H - Kultura fiz. i turyst'!P49+'Tab. 6H - Kultura fiz. i turyst'!P56+'Tab. 6H - Kultura fiz. i turyst'!P65+'Tab. 6H - Kultura fiz. i turyst'!P72+'Tab. 6H - Kultura fiz. i turyst'!P79+'Tab. 6H - Kultura fiz. i turyst'!P88+'Tab. 6H - Kultura fiz. i turyst'!P95+'Tab. 6H - Kultura fiz. i turyst'!P111+'Tab. 6E - Administracja'!P156</f>
        <v>146217796</v>
      </c>
      <c r="O7" s="1627">
        <f>'Tab. 6A -Drogi'!Q36+'Tab. 6B Polit społ i rozwój prz'!Q174+'Tab. 6B Polit społ i rozwój prz'!Q186+'Tab. 6B Polit społ i rozwój prz'!Q198+'Tab. 6E - Administracja'!Q72+'Tab. 6E - Administracja'!Q84+'Tab. 6E - Administracja'!Q105+'Tab. 6E - Administracja'!Q114-'Tab. 6E - Administracja'!Q122+'Tab. 6E - Administracja'!Q138-'Tab. 6E - Administracja'!Q140+'Tab. 6H - Kultura fiz. i turyst'!Q49+'Tab. 6H - Kultura fiz. i turyst'!Q56+'Tab. 6H - Kultura fiz. i turyst'!Q65+'Tab. 6H - Kultura fiz. i turyst'!Q72+'Tab. 6H - Kultura fiz. i turyst'!Q79+'Tab. 6H - Kultura fiz. i turyst'!Q88+'Tab. 6H - Kultura fiz. i turyst'!Q95+'Tab. 6H - Kultura fiz. i turyst'!Q111+'Tab. 6E - Administracja'!Q156</f>
        <v>237247796</v>
      </c>
      <c r="P7" s="1627">
        <f>'Tab. 6A -Drogi'!R36+'Tab. 6B Polit społ i rozwój prz'!R174+'Tab. 6B Polit społ i rozwój prz'!R186+'Tab. 6B Polit społ i rozwój prz'!R198+'Tab. 6E - Administracja'!R72+'Tab. 6E - Administracja'!R84+'Tab. 6E - Administracja'!R105+'Tab. 6E - Administracja'!R114-'Tab. 6E - Administracja'!R122+'Tab. 6E - Administracja'!R138-'Tab. 6E - Administracja'!R140+'Tab. 6H - Kultura fiz. i turyst'!R49+'Tab. 6H - Kultura fiz. i turyst'!R56+'Tab. 6H - Kultura fiz. i turyst'!R65+'Tab. 6H - Kultura fiz. i turyst'!R72+'Tab. 6H - Kultura fiz. i turyst'!R79+'Tab. 6H - Kultura fiz. i turyst'!R88+'Tab. 6H - Kultura fiz. i turyst'!R95+'Tab. 6H - Kultura fiz. i turyst'!R111+'Tab. 6E - Administracja'!R156</f>
        <v>180128194</v>
      </c>
      <c r="Q7" s="1627">
        <f>'Tab. 6A -Drogi'!S36+'Tab. 6B Polit społ i rozwój prz'!S174+'Tab. 6B Polit społ i rozwój prz'!S186+'Tab. 6B Polit społ i rozwój prz'!S198+'Tab. 6E - Administracja'!S72+'Tab. 6E - Administracja'!S84+'Tab. 6E - Administracja'!S105+'Tab. 6E - Administracja'!S114-'Tab. 6E - Administracja'!S122+'Tab. 6E - Administracja'!S138-'Tab. 6E - Administracja'!S140+'Tab. 6H - Kultura fiz. i turyst'!S49+'Tab. 6H - Kultura fiz. i turyst'!S56+'Tab. 6H - Kultura fiz. i turyst'!S65+'Tab. 6H - Kultura fiz. i turyst'!S72+'Tab. 6H - Kultura fiz. i turyst'!S79+'Tab. 6H - Kultura fiz. i turyst'!S88+'Tab. 6H - Kultura fiz. i turyst'!S95+'Tab. 6H - Kultura fiz. i turyst'!S111+'Tab. 6E - Administracja'!S156</f>
        <v>70638661</v>
      </c>
      <c r="R7" s="1627">
        <f>'Tab. 6A -Drogi'!T36+'Tab. 6B Polit społ i rozwój prz'!T174+'Tab. 6B Polit społ i rozwój prz'!T186+'Tab. 6B Polit społ i rozwój prz'!T198+'Tab. 6E - Administracja'!T72+'Tab. 6E - Administracja'!T84+'Tab. 6E - Administracja'!T105+'Tab. 6E - Administracja'!T114-'Tab. 6E - Administracja'!T122+'Tab. 6E - Administracja'!T138-'Tab. 6E - Administracja'!T140+'Tab. 6H - Kultura fiz. i turyst'!T49+'Tab. 6H - Kultura fiz. i turyst'!T56+'Tab. 6H - Kultura fiz. i turyst'!T65+'Tab. 6H - Kultura fiz. i turyst'!T72+'Tab. 6H - Kultura fiz. i turyst'!T79+'Tab. 6H - Kultura fiz. i turyst'!T88+'Tab. 6H - Kultura fiz. i turyst'!T95+'Tab. 6H - Kultura fiz. i turyst'!T111+'Tab. 6E - Administracja'!T156</f>
        <v>51352231</v>
      </c>
      <c r="S7" s="1627">
        <f>'Tab. 6A -Drogi'!U36+'Tab. 6B Polit społ i rozwój prz'!U174+'Tab. 6B Polit społ i rozwój prz'!U186+'Tab. 6B Polit społ i rozwój prz'!U198+'Tab. 6E - Administracja'!U72+'Tab. 6E - Administracja'!U84+'Tab. 6E - Administracja'!U105+'Tab. 6E - Administracja'!U114-'Tab. 6E - Administracja'!U122+'Tab. 6E - Administracja'!U138-'Tab. 6E - Administracja'!U140+'Tab. 6H - Kultura fiz. i turyst'!U49+'Tab. 6H - Kultura fiz. i turyst'!U56+'Tab. 6H - Kultura fiz. i turyst'!U65+'Tab. 6H - Kultura fiz. i turyst'!U72+'Tab. 6H - Kultura fiz. i turyst'!U79+'Tab. 6H - Kultura fiz. i turyst'!U88+'Tab. 6H - Kultura fiz. i turyst'!U95+'Tab. 6H - Kultura fiz. i turyst'!U111+'Tab. 6E - Administracja'!U156</f>
        <v>36656133</v>
      </c>
      <c r="T7" s="1627">
        <f>'Tab. 6A -Drogi'!V36+'Tab. 6B Polit społ i rozwój prz'!V174+'Tab. 6B Polit społ i rozwój prz'!V186+'Tab. 6B Polit społ i rozwój prz'!V198+'Tab. 6E - Administracja'!V72+'Tab. 6E - Administracja'!V84+'Tab. 6E - Administracja'!V105+'Tab. 6E - Administracja'!V114-'Tab. 6E - Administracja'!V122+'Tab. 6E - Administracja'!V138-'Tab. 6E - Administracja'!V140+'Tab. 6H - Kultura fiz. i turyst'!V49+'Tab. 6H - Kultura fiz. i turyst'!V56+'Tab. 6H - Kultura fiz. i turyst'!V65+'Tab. 6H - Kultura fiz. i turyst'!V72+'Tab. 6H - Kultura fiz. i turyst'!V79+'Tab. 6H - Kultura fiz. i turyst'!V88+'Tab. 6H - Kultura fiz. i turyst'!V95+'Tab. 6H - Kultura fiz. i turyst'!V111+'Tab. 6E - Administracja'!V156</f>
        <v>34123337</v>
      </c>
      <c r="U7" s="1627">
        <f>'Tab. 6A -Drogi'!W36+'Tab. 6B Polit społ i rozwój prz'!W174+'Tab. 6B Polit społ i rozwój prz'!W186+'Tab. 6B Polit społ i rozwój prz'!W198+'Tab. 6E - Administracja'!W72+'Tab. 6E - Administracja'!W84+'Tab. 6E - Administracja'!W105+'Tab. 6E - Administracja'!W114-'Tab. 6E - Administracja'!W122+'Tab. 6E - Administracja'!W138-'Tab. 6E - Administracja'!W140+'Tab. 6H - Kultura fiz. i turyst'!W49+'Tab. 6H - Kultura fiz. i turyst'!W56+'Tab. 6H - Kultura fiz. i turyst'!W65+'Tab. 6H - Kultura fiz. i turyst'!W72+'Tab. 6H - Kultura fiz. i turyst'!W79+'Tab. 6H - Kultura fiz. i turyst'!W88+'Tab. 6H - Kultura fiz. i turyst'!W95+'Tab. 6H - Kultura fiz. i turyst'!W111+'Tab. 6E - Administracja'!W156</f>
        <v>34288222</v>
      </c>
      <c r="V7" s="1627">
        <f t="shared" ref="V7:V9" si="0">K7+M7+N7+O7+P7+Q7+R7+S7+T7+U7</f>
        <v>1315407585</v>
      </c>
      <c r="W7" s="1638">
        <f>N7+O7+P7+Q7+R7+S7+T7+U7</f>
        <v>790652370</v>
      </c>
      <c r="X7" s="913">
        <f>'Tab. 6A -Drogi'!O36+'Tab. 6B Polit społ i rozwój prz'!O174+'Tab. 6B Polit społ i rozwój prz'!O186+'Tab. 6B Polit społ i rozwój prz'!O198+'Tab. 6E - Administracja'!O72+'Tab. 6E - Administracja'!O84+'Tab. 6E - Administracja'!O105+'Tab. 6E - Administracja'!O114-'Tab. 6E - Administracja'!O122+'Tab. 6E - Administracja'!O138-'Tab. 6E - Administracja'!O140+'Tab. 6H - Kultura fiz. i turyst'!O49+'Tab. 6H - Kultura fiz. i turyst'!O56+'Tab. 6H - Kultura fiz. i turyst'!O65+'Tab. 6H - Kultura fiz. i turyst'!O72+'Tab. 6H - Kultura fiz. i turyst'!O79+'Tab. 6H - Kultura fiz. i turyst'!O88+'Tab. 6H - Kultura fiz. i turyst'!O95+'Tab. 6H - Kultura fiz. i turyst'!O111</f>
        <v>108187896</v>
      </c>
      <c r="Y7" s="914"/>
      <c r="Z7" s="914"/>
    </row>
    <row r="8" spans="1:27" s="915" customFormat="1" ht="24.75" customHeight="1" thickBot="1">
      <c r="A8" s="4728" t="s">
        <v>274</v>
      </c>
      <c r="B8" s="4729"/>
      <c r="C8" s="1628">
        <f>+'Tab. 6A -Drogi'!E44+'Tab. 6B Polit społ i rozwój prz'!E180+'Tab. 6B Polit społ i rozwój prz'!E192+'Tab. 6E - Administracja'!E80+'Tab. 6E - Administracja'!E90+'Tab. 6E - Administracja'!E110+'Tab. 6H - Kultura fiz. i turyst'!E52+'Tab. 6H - Kultura fiz. i turyst'!E61+'Tab. 6H - Kultura fiz. i turyst'!E75+'Tab. 6B Polit społ i rozwój prz'!E204+'Tab. 6H - Kultura fiz. i turyst'!E84+'Tab. 6H - Kultura fiz. i turyst'!E100</f>
        <v>10873380</v>
      </c>
      <c r="D8" s="1628">
        <f>+'Tab. 6A -Drogi'!F44+'Tab. 6B Polit społ i rozwój prz'!F180+'Tab. 6B Polit społ i rozwój prz'!F192+'Tab. 6E - Administracja'!F80+'Tab. 6E - Administracja'!F90+'Tab. 6E - Administracja'!F110+'Tab. 6H - Kultura fiz. i turyst'!F52+'Tab. 6H - Kultura fiz. i turyst'!F61+'Tab. 6H - Kultura fiz. i turyst'!F75+'Tab. 6B Polit społ i rozwój prz'!F204+'Tab. 6H - Kultura fiz. i turyst'!F84+'Tab. 6H - Kultura fiz. i turyst'!F100</f>
        <v>0</v>
      </c>
      <c r="E8" s="1628">
        <f>+'Tab. 6A -Drogi'!G44+'Tab. 6B Polit społ i rozwój prz'!G180+'Tab. 6B Polit społ i rozwój prz'!G192+'Tab. 6E - Administracja'!G80+'Tab. 6E - Administracja'!G90+'Tab. 6E - Administracja'!G110+'Tab. 6H - Kultura fiz. i turyst'!G52+'Tab. 6H - Kultura fiz. i turyst'!G61+'Tab. 6H - Kultura fiz. i turyst'!G75+'Tab. 6B Polit społ i rozwój prz'!G204+'Tab. 6H - Kultura fiz. i turyst'!G84+'Tab. 6H - Kultura fiz. i turyst'!G100</f>
        <v>2563346</v>
      </c>
      <c r="F8" s="1628">
        <f>+'Tab. 6A -Drogi'!H44+'Tab. 6B Polit społ i rozwój prz'!H180+'Tab. 6B Polit społ i rozwój prz'!H192+'Tab. 6E - Administracja'!H80+'Tab. 6E - Administracja'!H90+'Tab. 6E - Administracja'!H110+'Tab. 6H - Kultura fiz. i turyst'!H52+'Tab. 6H - Kultura fiz. i turyst'!H61+'Tab. 6H - Kultura fiz. i turyst'!H75+'Tab. 6B Polit społ i rozwój prz'!H204+'Tab. 6H - Kultura fiz. i turyst'!H84+'Tab. 6H - Kultura fiz. i turyst'!H100-'Tab. 6A -Drogi'!H231</f>
        <v>8310034</v>
      </c>
      <c r="G8" s="1628">
        <f>+'Tab. 6A -Drogi'!I44+'Tab. 6B Polit społ i rozwój prz'!I180+'Tab. 6B Polit społ i rozwój prz'!I192+'Tab. 6E - Administracja'!I80+'Tab. 6E - Administracja'!I90+'Tab. 6E - Administracja'!I110+'Tab. 6H - Kultura fiz. i turyst'!I52+'Tab. 6H - Kultura fiz. i turyst'!I61+'Tab. 6H - Kultura fiz. i turyst'!I75+'Tab. 6B Polit społ i rozwój prz'!I204+'Tab. 6H - Kultura fiz. i turyst'!I84+'Tab. 6H - Kultura fiz. i turyst'!I100-'Tab. 6A -Drogi'!I231</f>
        <v>22435406</v>
      </c>
      <c r="H8" s="1628">
        <f>+'Tab. 6A -Drogi'!J44+'Tab. 6B Polit społ i rozwój prz'!J180+'Tab. 6B Polit społ i rozwój prz'!J192+'Tab. 6E - Administracja'!J80+'Tab. 6E - Administracja'!J90+'Tab. 6E - Administracja'!J110+'Tab. 6H - Kultura fiz. i turyst'!J52+'Tab. 6H - Kultura fiz. i turyst'!J61+'Tab. 6H - Kultura fiz. i turyst'!J75+'Tab. 6B Polit społ i rozwój prz'!J204+'Tab. 6H - Kultura fiz. i turyst'!J84+'Tab. 6H - Kultura fiz. i turyst'!J100-'Tab. 6A -Drogi'!J231</f>
        <v>36475617</v>
      </c>
      <c r="I8" s="1628">
        <f>+'Tab. 6A -Drogi'!K44+'Tab. 6B Polit społ i rozwój prz'!K180+'Tab. 6B Polit społ i rozwój prz'!K192+'Tab. 6E - Administracja'!K80+'Tab. 6E - Administracja'!K90+'Tab. 6E - Administracja'!K110+'Tab. 6H - Kultura fiz. i turyst'!K52+'Tab. 6H - Kultura fiz. i turyst'!K61+'Tab. 6H - Kultura fiz. i turyst'!K75+'Tab. 6B Polit społ i rozwój prz'!K204+'Tab. 6H - Kultura fiz. i turyst'!K84+'Tab. 6H - Kultura fiz. i turyst'!K100-'Tab. 6A -Drogi'!K231</f>
        <v>84416544</v>
      </c>
      <c r="J8" s="1628">
        <f>+'Tab. 6A -Drogi'!L44+'Tab. 6B Polit społ i rozwój prz'!L180+'Tab. 6B Polit społ i rozwój prz'!L192+'Tab. 6E - Administracja'!L80+'Tab. 6E - Administracja'!L90+'Tab. 6E - Administracja'!L110+'Tab. 6H - Kultura fiz. i turyst'!L52+'Tab. 6H - Kultura fiz. i turyst'!L61+'Tab. 6H - Kultura fiz. i turyst'!L75+'Tab. 6B Polit społ i rozwój prz'!L204+'Tab. 6H - Kultura fiz. i turyst'!L84+'Tab. 6H - Kultura fiz. i turyst'!L100-'Tab. 6A -Drogi'!L231</f>
        <v>90030000</v>
      </c>
      <c r="K8" s="1628">
        <f>'Tab. 6A -Drogi'!M44+'Tab. 6B Polit społ i rozwój prz'!M180+'Tab. 6B Polit społ i rozwój prz'!M192+'Tab. 6B Polit społ i rozwój prz'!M204+'Tab. 6E - Administracja'!M80+'Tab. 6E - Administracja'!M90+'Tab. 6E - Administracja'!M110+'Tab. 6E - Administracja'!M134+'Tab. 6E - Administracja'!M152+'Tab. 6H - Kultura fiz. i turyst'!M52+'Tab. 6H - Kultura fiz. i turyst'!M61+'Tab. 6H - Kultura fiz. i turyst'!M68+'Tab. 6H - Kultura fiz. i turyst'!M75+'Tab. 6H - Kultura fiz. i turyst'!M84+'Tab. 6H - Kultura fiz. i turyst'!M91+'Tab. 6H - Kultura fiz. i turyst'!M100+'Tab. 6H - Kultura fiz. i turyst'!M116</f>
        <v>372615852</v>
      </c>
      <c r="L8" s="1628">
        <f>'Tab. 6A -Drogi'!N44+'Tab. 6B Polit społ i rozwój prz'!N180+'Tab. 6B Polit społ i rozwój prz'!N192+'Tab. 6B Polit społ i rozwój prz'!N204+'Tab. 6E - Administracja'!N80+'Tab. 6E - Administracja'!N90+'Tab. 6E - Administracja'!N110+'Tab. 6E - Administracja'!N134+'Tab. 6E - Administracja'!N152+'Tab. 6H - Kultura fiz. i turyst'!N52+'Tab. 6H - Kultura fiz. i turyst'!N61+'Tab. 6H - Kultura fiz. i turyst'!N68+'Tab. 6H - Kultura fiz. i turyst'!N75+'Tab. 6H - Kultura fiz. i turyst'!N84+'Tab. 6H - Kultura fiz. i turyst'!N91+'Tab. 6H - Kultura fiz. i turyst'!N100+'Tab. 6H - Kultura fiz. i turyst'!N116</f>
        <v>128709350</v>
      </c>
      <c r="M8" s="1628">
        <f>'Tab. 6A -Drogi'!O44+'Tab. 6B Polit społ i rozwój prz'!O180+'Tab. 6B Polit społ i rozwój prz'!O192+'Tab. 6B Polit społ i rozwój prz'!O204+'Tab. 6E - Administracja'!O80+'Tab. 6E - Administracja'!O90+'Tab. 6E - Administracja'!O110+'Tab. 6E - Administracja'!O134+'Tab. 6E - Administracja'!O152+'Tab. 6H - Kultura fiz. i turyst'!O52+'Tab. 6H - Kultura fiz. i turyst'!O61+'Tab. 6H - Kultura fiz. i turyst'!O68+'Tab. 6H - Kultura fiz. i turyst'!O75+'Tab. 6H - Kultura fiz. i turyst'!O84+'Tab. 6H - Kultura fiz. i turyst'!O91+'Tab. 6H - Kultura fiz. i turyst'!O100+'Tab. 6H - Kultura fiz. i turyst'!O116</f>
        <v>118450526</v>
      </c>
      <c r="N8" s="1628">
        <f>'Tab. 6A -Drogi'!P44+'Tab. 6B Polit społ i rozwój prz'!P180+'Tab. 6B Polit społ i rozwój prz'!P192+'Tab. 6B Polit społ i rozwój prz'!P204+'Tab. 6E - Administracja'!P80+'Tab. 6E - Administracja'!P90+'Tab. 6E - Administracja'!P110+'Tab. 6E - Administracja'!P134+'Tab. 6E - Administracja'!P152+'Tab. 6H - Kultura fiz. i turyst'!P52+'Tab. 6H - Kultura fiz. i turyst'!P61+'Tab. 6H - Kultura fiz. i turyst'!P68+'Tab. 6H - Kultura fiz. i turyst'!P75+'Tab. 6H - Kultura fiz. i turyst'!P84+'Tab. 6H - Kultura fiz. i turyst'!P91+'Tab. 6H - Kultura fiz. i turyst'!P100+'Tab. 6H - Kultura fiz. i turyst'!P116+'Tab. 6E - Administracja'!P165</f>
        <v>138366836</v>
      </c>
      <c r="O8" s="1628">
        <f>'Tab. 6A -Drogi'!Q44+'Tab. 6B Polit społ i rozwój prz'!Q180+'Tab. 6B Polit społ i rozwój prz'!Q192+'Tab. 6B Polit społ i rozwój prz'!Q204+'Tab. 6E - Administracja'!Q80+'Tab. 6E - Administracja'!Q90+'Tab. 6E - Administracja'!Q110+'Tab. 6E - Administracja'!Q134+'Tab. 6E - Administracja'!Q152+'Tab. 6H - Kultura fiz. i turyst'!Q52+'Tab. 6H - Kultura fiz. i turyst'!Q61+'Tab. 6H - Kultura fiz. i turyst'!Q68+'Tab. 6H - Kultura fiz. i turyst'!Q75+'Tab. 6H - Kultura fiz. i turyst'!Q84+'Tab. 6H - Kultura fiz. i turyst'!Q91+'Tab. 6H - Kultura fiz. i turyst'!Q100+'Tab. 6H - Kultura fiz. i turyst'!Q116+'Tab. 6E - Administracja'!Q165</f>
        <v>213210047</v>
      </c>
      <c r="P8" s="1628">
        <f>'Tab. 6A -Drogi'!R44+'Tab. 6B Polit społ i rozwój prz'!R180+'Tab. 6B Polit społ i rozwój prz'!R192+'Tab. 6B Polit społ i rozwój prz'!R204+'Tab. 6E - Administracja'!R80+'Tab. 6E - Administracja'!R90+'Tab. 6E - Administracja'!R110+'Tab. 6E - Administracja'!R134+'Tab. 6E - Administracja'!R152+'Tab. 6H - Kultura fiz. i turyst'!R52+'Tab. 6H - Kultura fiz. i turyst'!R61+'Tab. 6H - Kultura fiz. i turyst'!R68+'Tab. 6H - Kultura fiz. i turyst'!R75+'Tab. 6H - Kultura fiz. i turyst'!R84+'Tab. 6H - Kultura fiz. i turyst'!R91+'Tab. 6H - Kultura fiz. i turyst'!R100+'Tab. 6H - Kultura fiz. i turyst'!R116+'Tab. 6E - Administracja'!R165</f>
        <v>155924585</v>
      </c>
      <c r="Q8" s="1628">
        <f>'Tab. 6A -Drogi'!S44+'Tab. 6B Polit społ i rozwój prz'!S180+'Tab. 6B Polit społ i rozwój prz'!S192+'Tab. 6B Polit społ i rozwój prz'!S204+'Tab. 6E - Administracja'!S80+'Tab. 6E - Administracja'!S90+'Tab. 6E - Administracja'!S110+'Tab. 6E - Administracja'!S134+'Tab. 6E - Administracja'!S152+'Tab. 6H - Kultura fiz. i turyst'!S52+'Tab. 6H - Kultura fiz. i turyst'!S61+'Tab. 6H - Kultura fiz. i turyst'!S68+'Tab. 6H - Kultura fiz. i turyst'!S75+'Tab. 6H - Kultura fiz. i turyst'!S84+'Tab. 6H - Kultura fiz. i turyst'!S91+'Tab. 6H - Kultura fiz. i turyst'!S100+'Tab. 6H - Kultura fiz. i turyst'!S116+'Tab. 6E - Administracja'!S165</f>
        <v>63264200</v>
      </c>
      <c r="R8" s="1628">
        <f>'Tab. 6A -Drogi'!T44+'Tab. 6B Polit społ i rozwój prz'!T180+'Tab. 6B Polit społ i rozwój prz'!T192+'Tab. 6B Polit społ i rozwój prz'!T204+'Tab. 6E - Administracja'!T80+'Tab. 6E - Administracja'!T90+'Tab. 6E - Administracja'!T110+'Tab. 6E - Administracja'!T134+'Tab. 6E - Administracja'!T152+'Tab. 6H - Kultura fiz. i turyst'!T52+'Tab. 6H - Kultura fiz. i turyst'!T61+'Tab. 6H - Kultura fiz. i turyst'!T68+'Tab. 6H - Kultura fiz. i turyst'!T75+'Tab. 6H - Kultura fiz. i turyst'!T84+'Tab. 6H - Kultura fiz. i turyst'!T91+'Tab. 6H - Kultura fiz. i turyst'!T100+'Tab. 6H - Kultura fiz. i turyst'!T116+'Tab. 6E - Administracja'!T165</f>
        <v>44134748</v>
      </c>
      <c r="S8" s="1628">
        <f>'Tab. 6A -Drogi'!U44+'Tab. 6B Polit społ i rozwój prz'!U180+'Tab. 6B Polit społ i rozwój prz'!U192+'Tab. 6B Polit społ i rozwój prz'!U204+'Tab. 6E - Administracja'!U80+'Tab. 6E - Administracja'!U90+'Tab. 6E - Administracja'!U110+'Tab. 6E - Administracja'!U134+'Tab. 6E - Administracja'!U152+'Tab. 6H - Kultura fiz. i turyst'!U52+'Tab. 6H - Kultura fiz. i turyst'!U61+'Tab. 6H - Kultura fiz. i turyst'!U68+'Tab. 6H - Kultura fiz. i turyst'!U75+'Tab. 6H - Kultura fiz. i turyst'!U84+'Tab. 6H - Kultura fiz. i turyst'!U91+'Tab. 6H - Kultura fiz. i turyst'!U100+'Tab. 6H - Kultura fiz. i turyst'!U116</f>
        <v>30574519</v>
      </c>
      <c r="T8" s="1628">
        <f>'Tab. 6A -Drogi'!V44+'Tab. 6B Polit społ i rozwój prz'!V180+'Tab. 6B Polit społ i rozwój prz'!V192+'Tab. 6B Polit społ i rozwój prz'!V204+'Tab. 6E - Administracja'!V80+'Tab. 6E - Administracja'!V90+'Tab. 6E - Administracja'!V110+'Tab. 6E - Administracja'!V134+'Tab. 6E - Administracja'!V152+'Tab. 6H - Kultura fiz. i turyst'!V52+'Tab. 6H - Kultura fiz. i turyst'!V61+'Tab. 6H - Kultura fiz. i turyst'!V68+'Tab. 6H - Kultura fiz. i turyst'!V75+'Tab. 6H - Kultura fiz. i turyst'!V84+'Tab. 6H - Kultura fiz. i turyst'!V91+'Tab. 6H - Kultura fiz. i turyst'!V100+'Tab. 6H - Kultura fiz. i turyst'!V116</f>
        <v>30240549</v>
      </c>
      <c r="U8" s="1628">
        <f>'Tab. 6A -Drogi'!W44+'Tab. 6B Polit społ i rozwój prz'!W180+'Tab. 6B Polit społ i rozwój prz'!W192+'Tab. 6B Polit społ i rozwój prz'!W204+'Tab. 6E - Administracja'!W80+'Tab. 6E - Administracja'!W90+'Tab. 6E - Administracja'!W110+'Tab. 6E - Administracja'!W134+'Tab. 6E - Administracja'!W152+'Tab. 6H - Kultura fiz. i turyst'!W52+'Tab. 6H - Kultura fiz. i turyst'!W61+'Tab. 6H - Kultura fiz. i turyst'!W68+'Tab. 6H - Kultura fiz. i turyst'!W75+'Tab. 6H - Kultura fiz. i turyst'!W84+'Tab. 6H - Kultura fiz. i turyst'!W91+'Tab. 6H - Kultura fiz. i turyst'!W100+'Tab. 6H - Kultura fiz. i turyst'!W116</f>
        <v>30342746</v>
      </c>
      <c r="V8" s="1628">
        <f t="shared" si="0"/>
        <v>1197124608</v>
      </c>
      <c r="W8" s="1639" t="s">
        <v>77</v>
      </c>
      <c r="X8" s="913">
        <f>M7-X7</f>
        <v>0</v>
      </c>
      <c r="Y8" s="914"/>
      <c r="Z8" s="914"/>
    </row>
    <row r="9" spans="1:27" s="915" customFormat="1" ht="24.75" customHeight="1" thickBot="1">
      <c r="A9" s="1636" t="s">
        <v>275</v>
      </c>
      <c r="B9" s="1637"/>
      <c r="C9" s="1627">
        <f>+'Tab. 6B Polit społ i rozwój prz'!E11-'Tab. 6B Polit społ i rozwój prz'!E162-'Tab. 6B Polit społ i rozwój prz'!E174-'Tab. 6B Polit społ i rozwój prz'!E186-'Tab. 6B Polit społ i rozwój prz'!E198+'Tab.6I - Planow. przestrz.'!E30+'Tab.6I - Planow. przestrz.'!E39</f>
        <v>10959072</v>
      </c>
      <c r="D9" s="1627">
        <f>+'Tab. 6B Polit społ i rozwój prz'!F11-'Tab. 6B Polit społ i rozwój prz'!F162-'Tab. 6B Polit społ i rozwój prz'!F174-'Tab. 6B Polit społ i rozwój prz'!F186-'Tab. 6B Polit społ i rozwój prz'!F198+'Tab.6I - Planow. przestrz.'!F30+'Tab.6I - Planow. przestrz.'!F39</f>
        <v>337011</v>
      </c>
      <c r="E9" s="1627">
        <f>+'Tab. 6B Polit społ i rozwój prz'!G11-'Tab. 6B Polit społ i rozwój prz'!G162-'Tab. 6B Polit społ i rozwój prz'!G174-'Tab. 6B Polit społ i rozwój prz'!G186-'Tab. 6B Polit społ i rozwój prz'!G198+'Tab.6I - Planow. przestrz.'!G30+'Tab.6I - Planow. przestrz.'!G39</f>
        <v>4987571</v>
      </c>
      <c r="F9" s="1627">
        <f>+'Tab. 6B Polit społ i rozwój prz'!H11-'Tab. 6B Polit społ i rozwój prz'!H162-'Tab. 6B Polit społ i rozwój prz'!H174-'Tab. 6B Polit społ i rozwój prz'!H186-'Tab. 6B Polit społ i rozwój prz'!H198+'Tab.6I - Planow. przestrz.'!H30+'Tab.6I - Planow. przestrz.'!H39</f>
        <v>8072537</v>
      </c>
      <c r="G9" s="1627">
        <f>+'Tab. 6B Polit społ i rozwój prz'!I11-'Tab. 6B Polit społ i rozwój prz'!I162-'Tab. 6B Polit społ i rozwój prz'!I174-'Tab. 6B Polit społ i rozwój prz'!I186-'Tab. 6B Polit społ i rozwój prz'!I198+'Tab.6I - Planow. przestrz.'!I30+'Tab.6I - Planow. przestrz.'!I39</f>
        <v>7739328</v>
      </c>
      <c r="H9" s="1627">
        <f>+'Tab. 6B Polit społ i rozwój prz'!J11-'Tab. 6B Polit społ i rozwój prz'!J162-'Tab. 6B Polit społ i rozwój prz'!J174-'Tab. 6B Polit społ i rozwój prz'!J186-'Tab. 6B Polit społ i rozwój prz'!J198+'Tab.6I - Planow. przestrz.'!J30+'Tab.6I - Planow. przestrz.'!J39</f>
        <v>8524529</v>
      </c>
      <c r="I9" s="1627">
        <f>+'Tab. 6B Polit społ i rozwój prz'!K11-'Tab. 6B Polit społ i rozwój prz'!K162-'Tab. 6B Polit społ i rozwój prz'!K174-'Tab. 6B Polit społ i rozwój prz'!K186-'Tab. 6B Polit społ i rozwój prz'!K198+'Tab.6I - Planow. przestrz.'!K30+'Tab.6I - Planow. przestrz.'!K39</f>
        <v>8470346</v>
      </c>
      <c r="J9" s="1627">
        <f>+'Tab. 6B Polit społ i rozwój prz'!L11-'Tab. 6B Polit społ i rozwój prz'!L162-'Tab. 6B Polit społ i rozwój prz'!L174-'Tab. 6B Polit społ i rozwój prz'!L186-'Tab. 6B Polit społ i rozwój prz'!L198+'Tab.6I - Planow. przestrz.'!L30+'Tab.6I - Planow. przestrz.'!L39</f>
        <v>13227440</v>
      </c>
      <c r="K9" s="1627">
        <f>'Tab. 6B Polit społ i rozwój prz'!M23+'Tab. 6B Polit społ i rozwój prz'!M30+'Tab. 6B Polit społ i rozwój prz'!M66+'Tab. 6B Polit społ i rozwój prz'!M78+'Tab. 6B Polit społ i rozwój prz'!M90+'Tab. 6B Polit społ i rozwój prz'!M114+'Tab.6I - Planow. przestrz.'!M30+'Tab.6I - Planow. przestrz.'!M39</f>
        <v>73511882</v>
      </c>
      <c r="L9" s="1627">
        <f>'Tab. 6B Polit społ i rozwój prz'!N23+'Tab. 6B Polit społ i rozwój prz'!N30+'Tab. 6B Polit społ i rozwój prz'!N66+'Tab. 6B Polit społ i rozwój prz'!N78+'Tab. 6B Polit społ i rozwój prz'!N90+'Tab. 6B Polit społ i rozwój prz'!N114+'Tab.6I - Planow. przestrz.'!N30+'Tab.6I - Planow. przestrz.'!N39</f>
        <v>24591167</v>
      </c>
      <c r="M9" s="1627">
        <f>'Tab. 6B Polit społ i rozwój prz'!O23+'Tab. 6B Polit społ i rozwój prz'!O30+'Tab. 6B Polit społ i rozwój prz'!O66+'Tab. 6B Polit społ i rozwój prz'!O78+'Tab. 6B Polit społ i rozwój prz'!O90+'Tab. 6B Polit społ i rozwój prz'!O114+'Tab.6I - Planow. przestrz.'!O30+'Tab.6I - Planow. przestrz.'!O39</f>
        <v>17836061</v>
      </c>
      <c r="N9" s="1627">
        <f>'Tab. 6B Polit społ i rozwój prz'!P23+'Tab. 6B Polit społ i rozwój prz'!P30+'Tab. 6B Polit społ i rozwój prz'!P66+'Tab. 6B Polit społ i rozwój prz'!P78+'Tab. 6B Polit społ i rozwój prz'!P90+'Tab. 6B Polit społ i rozwój prz'!P114+'Tab.6I - Planow. przestrz.'!P30+'Tab.6I - Planow. przestrz.'!P39</f>
        <v>0</v>
      </c>
      <c r="O9" s="1627">
        <f>'Tab. 6B Polit społ i rozwój prz'!Q23+'Tab. 6B Polit społ i rozwój prz'!Q30+'Tab. 6B Polit społ i rozwój prz'!Q66+'Tab. 6B Polit społ i rozwój prz'!Q78+'Tab. 6B Polit społ i rozwój prz'!Q90+'Tab. 6B Polit społ i rozwój prz'!Q114+'Tab.6I - Planow. przestrz.'!Q30+'Tab.6I - Planow. przestrz.'!Q39</f>
        <v>0</v>
      </c>
      <c r="P9" s="1627">
        <f>'Tab. 6B Polit społ i rozwój prz'!R23+'Tab. 6B Polit społ i rozwój prz'!R30+'Tab. 6B Polit społ i rozwój prz'!R66+'Tab. 6B Polit społ i rozwój prz'!R78+'Tab. 6B Polit społ i rozwój prz'!R90+'Tab. 6B Polit społ i rozwój prz'!R114+'Tab.6I - Planow. przestrz.'!R30+'Tab.6I - Planow. przestrz.'!R39</f>
        <v>0</v>
      </c>
      <c r="Q9" s="1627">
        <f>'Tab. 6B Polit społ i rozwój prz'!S23+'Tab. 6B Polit społ i rozwój prz'!S30+'Tab. 6B Polit społ i rozwój prz'!S66+'Tab. 6B Polit społ i rozwój prz'!S78+'Tab. 6B Polit społ i rozwój prz'!S90+'Tab. 6B Polit społ i rozwój prz'!S114+'Tab.6I - Planow. przestrz.'!S30+'Tab.6I - Planow. przestrz.'!S39</f>
        <v>0</v>
      </c>
      <c r="R9" s="1627">
        <f>'Tab. 6B Polit społ i rozwój prz'!T23+'Tab. 6B Polit społ i rozwój prz'!T30+'Tab. 6B Polit społ i rozwój prz'!T66+'Tab. 6B Polit społ i rozwój prz'!T78+'Tab. 6B Polit społ i rozwój prz'!T90+'Tab. 6B Polit społ i rozwój prz'!T114+'Tab.6I - Planow. przestrz.'!T30+'Tab.6I - Planow. przestrz.'!T39</f>
        <v>0</v>
      </c>
      <c r="S9" s="1627">
        <f>'Tab. 6B Polit społ i rozwój prz'!U23+'Tab. 6B Polit społ i rozwój prz'!U30+'Tab. 6B Polit społ i rozwój prz'!U66+'Tab. 6B Polit społ i rozwój prz'!U78+'Tab. 6B Polit społ i rozwój prz'!U90+'Tab. 6B Polit społ i rozwój prz'!U114+'Tab.6I - Planow. przestrz.'!U30+'Tab.6I - Planow. przestrz.'!U39</f>
        <v>0</v>
      </c>
      <c r="T9" s="1627">
        <f>'Tab. 6B Polit społ i rozwój prz'!V23+'Tab. 6B Polit społ i rozwój prz'!V30+'Tab. 6B Polit społ i rozwój prz'!V66+'Tab. 6B Polit społ i rozwój prz'!V78+'Tab. 6B Polit społ i rozwój prz'!V90+'Tab. 6B Polit społ i rozwój prz'!V114+'Tab.6I - Planow. przestrz.'!V30+'Tab.6I - Planow. przestrz.'!V39</f>
        <v>0</v>
      </c>
      <c r="U9" s="1627">
        <f>'Tab. 6B Polit społ i rozwój prz'!W23+'Tab. 6B Polit społ i rozwój prz'!W30+'Tab. 6B Polit społ i rozwój prz'!W66+'Tab. 6B Polit społ i rozwój prz'!W78+'Tab. 6B Polit społ i rozwój prz'!W90+'Tab. 6B Polit społ i rozwój prz'!W114+'Tab.6I - Planow. przestrz.'!W30+'Tab.6I - Planow. przestrz.'!W39</f>
        <v>0</v>
      </c>
      <c r="V9" s="1627">
        <f t="shared" si="0"/>
        <v>91347943</v>
      </c>
      <c r="W9" s="1638">
        <f>N9+O9+P9+Q9+R9+S9+T9+U9</f>
        <v>0</v>
      </c>
      <c r="X9" s="913"/>
      <c r="Y9" s="914"/>
      <c r="Z9" s="914"/>
      <c r="AA9" s="913"/>
    </row>
    <row r="10" spans="1:27" s="915" customFormat="1" ht="24.75" customHeight="1" thickBot="1">
      <c r="A10" s="4728" t="s">
        <v>276</v>
      </c>
      <c r="B10" s="4729"/>
      <c r="C10" s="1628">
        <f>+'Tab. 6B Polit społ i rozwój prz'!E17-'Tab. 6B Polit społ i rozwój prz'!E168-'Tab. 6B Polit społ i rozwój prz'!E180-'Tab. 6B Polit społ i rozwój prz'!E192+'Tab. 6H - Kultura fiz. i turyst'!E68-'Tab. 6B Polit społ i rozwój prz'!E204+'Tab.6I - Planow. przestrz.'!E35+'Tab.6I - Planow. przestrz.'!E44</f>
        <v>9315213</v>
      </c>
      <c r="D10" s="1628">
        <f>+'Tab. 6B Polit społ i rozwój prz'!F17-'Tab. 6B Polit społ i rozwój prz'!F168-'Tab. 6B Polit społ i rozwój prz'!F180-'Tab. 6B Polit społ i rozwój prz'!F192+'Tab. 6H - Kultura fiz. i turyst'!F68-'Tab. 6B Polit społ i rozwój prz'!F204+'Tab.6I - Planow. przestrz.'!F35+'Tab.6I - Planow. przestrz.'!F44</f>
        <v>288513</v>
      </c>
      <c r="E10" s="1628">
        <f>+'Tab. 6B Polit społ i rozwój prz'!G17-'Tab. 6B Polit społ i rozwój prz'!G168-'Tab. 6B Polit społ i rozwój prz'!G180-'Tab. 6B Polit społ i rozwój prz'!G192+'Tab. 6H - Kultura fiz. i turyst'!G68-'Tab. 6B Polit społ i rozwój prz'!G204+'Tab.6I - Planow. przestrz.'!G35+'Tab.6I - Planow. przestrz.'!G44</f>
        <v>4356098</v>
      </c>
      <c r="F10" s="1628">
        <f>+'Tab. 6B Polit społ i rozwój prz'!H17-'Tab. 6B Polit społ i rozwój prz'!H168-'Tab. 6B Polit społ i rozwój prz'!H180-'Tab. 6B Polit społ i rozwój prz'!H192+'Tab. 6H - Kultura fiz. i turyst'!H68-'Tab. 6B Polit społ i rozwój prz'!H204+'Tab.6I - Planow. przestrz.'!H35+'Tab.6I - Planow. przestrz.'!H44</f>
        <v>7108649</v>
      </c>
      <c r="G10" s="1628">
        <f>+'Tab. 6B Polit społ i rozwój prz'!I17-'Tab. 6B Polit społ i rozwój prz'!I168-'Tab. 6B Polit społ i rozwój prz'!I180-'Tab. 6B Polit społ i rozwój prz'!I192+'Tab. 6H - Kultura fiz. i turyst'!I68-'Tab. 6B Polit społ i rozwój prz'!I204+'Tab.6I - Planow. przestrz.'!I35+'Tab.6I - Planow. przestrz.'!I44</f>
        <v>6582120</v>
      </c>
      <c r="H10" s="1628">
        <f>+'Tab. 6B Polit społ i rozwój prz'!J17-'Tab. 6B Polit społ i rozwój prz'!J168-'Tab. 6B Polit społ i rozwój prz'!J180-'Tab. 6B Polit społ i rozwój prz'!J192+'Tab. 6H - Kultura fiz. i turyst'!J68-'Tab. 6B Polit społ i rozwój prz'!J204+'Tab.6I - Planow. przestrz.'!J35+'Tab.6I - Planow. przestrz.'!J44</f>
        <v>7255737</v>
      </c>
      <c r="I10" s="1628">
        <f>+'Tab. 6B Polit społ i rozwój prz'!K17-'Tab. 6B Polit społ i rozwój prz'!K168-'Tab. 6B Polit społ i rozwój prz'!K180-'Tab. 6B Polit społ i rozwój prz'!K192+'Tab. 6H - Kultura fiz. i turyst'!K68-'Tab. 6B Polit społ i rozwój prz'!K204+'Tab.6I - Planow. przestrz.'!K35+'Tab.6I - Planow. przestrz.'!K44</f>
        <v>7568851</v>
      </c>
      <c r="J10" s="1628">
        <f>+'Tab. 6B Polit społ i rozwój prz'!L17-'Tab. 6B Polit społ i rozwój prz'!L168-'Tab. 6B Polit społ i rozwój prz'!L180-'Tab. 6B Polit społ i rozwój prz'!L192+'Tab. 6H - Kultura fiz. i turyst'!L68-'Tab. 6B Polit społ i rozwój prz'!L204+'Tab.6I - Planow. przestrz.'!L35+'Tab.6I - Planow. przestrz.'!L44</f>
        <v>12111748</v>
      </c>
      <c r="K10" s="1628">
        <f>'Tab. 6B Polit społ i rozwój prz'!M26+'Tab. 6B Polit społ i rozwój prz'!M36+'Tab. 6B Polit społ i rozwój prz'!M72+'Tab. 6B Polit społ i rozwój prz'!M84+'Tab. 6B Polit społ i rozwój prz'!M96+'Tab. 6B Polit społ i rozwój prz'!M120+'Tab.6I - Planow. przestrz.'!M35+'Tab.6I - Planow. przestrz.'!M44</f>
        <v>66519410</v>
      </c>
      <c r="L10" s="1628">
        <f>+'Tab. 6B Polit społ i rozwój prz'!N17-'Tab. 6B Polit społ i rozwój prz'!N168-'Tab. 6B Polit społ i rozwój prz'!N180-'Tab. 6B Polit społ i rozwój prz'!N192+'Tab. 6H - Kultura fiz. i turyst'!N68-'Tab. 6B Polit społ i rozwój prz'!N204+'Tab.6I - Planow. przestrz.'!N35+'Tab.6I - Planow. przestrz.'!N44-'Tab. 6B Polit społ i rozwój prz'!N144</f>
        <v>23719511</v>
      </c>
      <c r="M10" s="1628">
        <f>+'Tab. 6B Polit społ i rozwój prz'!O17-'Tab. 6B Polit społ i rozwój prz'!O168-'Tab. 6B Polit społ i rozwój prz'!O180-'Tab. 6B Polit społ i rozwój prz'!O192-'Tab. 6B Polit społ i rozwój prz'!O156+'Tab. 6H - Kultura fiz. i turyst'!O68-'Tab. 6B Polit społ i rozwój prz'!O204+'Tab.6I - Planow. przestrz.'!O35+'Tab.6I - Planow. przestrz.'!O44-'Tab. 6B Polit społ i rozwój prz'!O144</f>
        <v>14451838</v>
      </c>
      <c r="N10" s="1628">
        <f>+'Tab. 6B Polit społ i rozwój prz'!P17-'Tab. 6B Polit społ i rozwój prz'!P168-'Tab. 6B Polit społ i rozwój prz'!P180-'Tab. 6B Polit społ i rozwój prz'!P192-'Tab. 6B Polit społ i rozwój prz'!P156+'Tab. 6H - Kultura fiz. i turyst'!P68-'Tab. 6B Polit społ i rozwój prz'!P204+'Tab.6I - Planow. przestrz.'!P35+'Tab.6I - Planow. przestrz.'!P44-'Tab. 6B Polit społ i rozwój prz'!P144</f>
        <v>0</v>
      </c>
      <c r="O10" s="1628">
        <f>+'Tab. 6B Polit społ i rozwój prz'!Q17-'Tab. 6B Polit społ i rozwój prz'!Q168-'Tab. 6B Polit społ i rozwój prz'!Q180-'Tab. 6B Polit społ i rozwój prz'!Q192-'Tab. 6B Polit społ i rozwój prz'!Q156+'Tab. 6H - Kultura fiz. i turyst'!Q68-'Tab. 6B Polit społ i rozwój prz'!Q204+'Tab.6I - Planow. przestrz.'!Q35+'Tab.6I - Planow. przestrz.'!Q44-'Tab. 6B Polit społ i rozwój prz'!Q144</f>
        <v>0</v>
      </c>
      <c r="P10" s="1628">
        <f>+'Tab. 6B Polit społ i rozwój prz'!R17-'Tab. 6B Polit społ i rozwój prz'!R168-'Tab. 6B Polit społ i rozwój prz'!R180-'Tab. 6B Polit społ i rozwój prz'!R192-'Tab. 6B Polit społ i rozwój prz'!R156+'Tab. 6H - Kultura fiz. i turyst'!R68-'Tab. 6B Polit społ i rozwój prz'!R204+'Tab.6I - Planow. przestrz.'!R35+'Tab.6I - Planow. przestrz.'!R44-'Tab. 6B Polit społ i rozwój prz'!R144</f>
        <v>0</v>
      </c>
      <c r="Q10" s="1628">
        <f>+'Tab. 6B Polit społ i rozwój prz'!S17-'Tab. 6B Polit społ i rozwój prz'!S168-'Tab. 6B Polit społ i rozwój prz'!S180-'Tab. 6B Polit społ i rozwój prz'!S192-'Tab. 6B Polit społ i rozwój prz'!S156+'Tab. 6H - Kultura fiz. i turyst'!S68-'Tab. 6B Polit społ i rozwój prz'!S204+'Tab.6I - Planow. przestrz.'!S35+'Tab.6I - Planow. przestrz.'!S44-'Tab. 6B Polit społ i rozwój prz'!S144</f>
        <v>0</v>
      </c>
      <c r="R10" s="1628">
        <f>+'Tab. 6B Polit społ i rozwój prz'!T17-'Tab. 6B Polit społ i rozwój prz'!T168-'Tab. 6B Polit społ i rozwój prz'!T180-'Tab. 6B Polit społ i rozwój prz'!T192-'Tab. 6B Polit społ i rozwój prz'!T156+'Tab. 6H - Kultura fiz. i turyst'!T68-'Tab. 6B Polit społ i rozwój prz'!T204+'Tab.6I - Planow. przestrz.'!T35+'Tab.6I - Planow. przestrz.'!T44-'Tab. 6B Polit społ i rozwój prz'!T144</f>
        <v>0</v>
      </c>
      <c r="S10" s="1628">
        <f>+'Tab. 6B Polit społ i rozwój prz'!U17-'Tab. 6B Polit społ i rozwój prz'!U168-'Tab. 6B Polit społ i rozwój prz'!U180-'Tab. 6B Polit społ i rozwój prz'!U192-'Tab. 6B Polit społ i rozwój prz'!U156+'Tab. 6H - Kultura fiz. i turyst'!U68-'Tab. 6B Polit społ i rozwój prz'!U204+'Tab.6I - Planow. przestrz.'!U35+'Tab.6I - Planow. przestrz.'!U44-'Tab. 6B Polit społ i rozwój prz'!U144</f>
        <v>0</v>
      </c>
      <c r="T10" s="1628">
        <f>+'Tab. 6B Polit społ i rozwój prz'!V17-'Tab. 6B Polit społ i rozwój prz'!V168-'Tab. 6B Polit społ i rozwój prz'!V180-'Tab. 6B Polit społ i rozwój prz'!V192-'Tab. 6B Polit społ i rozwój prz'!V156+'Tab. 6H - Kultura fiz. i turyst'!V68-'Tab. 6B Polit społ i rozwój prz'!V204+'Tab.6I - Planow. przestrz.'!V35+'Tab.6I - Planow. przestrz.'!V44-'Tab. 6B Polit społ i rozwój prz'!V144</f>
        <v>0</v>
      </c>
      <c r="U10" s="1628">
        <f>+'Tab. 6B Polit społ i rozwój prz'!W17-'Tab. 6B Polit społ i rozwój prz'!W168-'Tab. 6B Polit społ i rozwój prz'!W180-'Tab. 6B Polit społ i rozwój prz'!W192-'Tab. 6B Polit społ i rozwój prz'!W156+'Tab. 6H - Kultura fiz. i turyst'!W68-'Tab. 6B Polit społ i rozwój prz'!W204+'Tab.6I - Planow. przestrz.'!W35+'Tab.6I - Planow. przestrz.'!W44-'Tab. 6B Polit społ i rozwój prz'!W144</f>
        <v>0</v>
      </c>
      <c r="V10" s="1628">
        <f>K10+M10+N10+O10+P10+Q10+R10+S10+T10+U10</f>
        <v>80971248</v>
      </c>
      <c r="W10" s="1639" t="s">
        <v>77</v>
      </c>
      <c r="X10" s="913"/>
      <c r="Y10" s="914"/>
      <c r="Z10" s="914"/>
    </row>
    <row r="11" spans="1:27" s="915" customFormat="1" ht="24.75" customHeight="1" thickBot="1">
      <c r="A11" s="4742" t="s">
        <v>277</v>
      </c>
      <c r="B11" s="4743"/>
      <c r="C11" s="1627">
        <f>+'Tab. 6A -Drogi'!E369+'Tab. 6G - Roln i ochrona środ.'!E140+'Tab. 6G - Roln i ochrona środ.'!E167</f>
        <v>0</v>
      </c>
      <c r="D11" s="1627">
        <f>+'Tab. 6A -Drogi'!F369+'Tab. 6G - Roln i ochrona środ.'!F140+'Tab. 6G - Roln i ochrona środ.'!F167</f>
        <v>0</v>
      </c>
      <c r="E11" s="1627">
        <f>+'Tab. 6A -Drogi'!G369+'Tab. 6G - Roln i ochrona środ.'!G140+'Tab. 6G - Roln i ochrona środ.'!G167</f>
        <v>0</v>
      </c>
      <c r="F11" s="1627">
        <f>+'Tab. 6A -Drogi'!H369+'Tab. 6G - Roln i ochrona środ.'!H140+'Tab. 6G - Roln i ochrona środ.'!H167</f>
        <v>0</v>
      </c>
      <c r="G11" s="1627">
        <f>+'Tab. 6A -Drogi'!I369+'Tab. 6G - Roln i ochrona środ.'!I140+'Tab. 6G - Roln i ochrona środ.'!I167</f>
        <v>0</v>
      </c>
      <c r="H11" s="1627">
        <f>+'Tab. 6A -Drogi'!J369+'Tab. 6G - Roln i ochrona środ.'!J140+'Tab. 6G - Roln i ochrona środ.'!J167</f>
        <v>0</v>
      </c>
      <c r="I11" s="1627">
        <f>+'Tab. 6A -Drogi'!K369+'Tab. 6G - Roln i ochrona środ.'!K140+'Tab. 6G - Roln i ochrona środ.'!K167</f>
        <v>0</v>
      </c>
      <c r="J11" s="1627">
        <f>+'Tab. 6A -Drogi'!L369+'Tab. 6G - Roln i ochrona środ.'!L140+'Tab. 6G - Roln i ochrona środ.'!L167</f>
        <v>52200000</v>
      </c>
      <c r="K11" s="1627">
        <f>+'Tab. 6A -Drogi'!M369+'Tab. 6G - Roln i ochrona środ.'!M140+'Tab. 6G - Roln i ochrona środ.'!M167</f>
        <v>156606326</v>
      </c>
      <c r="L11" s="1627">
        <f>+'Tab. 6A -Drogi'!N369+'Tab. 6G - Roln i ochrona środ.'!N140+'Tab. 6G - Roln i ochrona środ.'!N167</f>
        <v>104406326</v>
      </c>
      <c r="M11" s="1627">
        <f>+'Tab. 6A -Drogi'!O369+'Tab. 6G - Roln i ochrona środ.'!O167</f>
        <v>69728874</v>
      </c>
      <c r="N11" s="1627">
        <f>+'Tab. 6A -Drogi'!P369+'Tab. 6G - Roln i ochrona środ.'!P167</f>
        <v>0</v>
      </c>
      <c r="O11" s="1627">
        <f>+'Tab. 6A -Drogi'!Q369+'Tab. 6G - Roln i ochrona środ.'!Q167</f>
        <v>0</v>
      </c>
      <c r="P11" s="1627"/>
      <c r="Q11" s="1627"/>
      <c r="R11" s="1627"/>
      <c r="S11" s="1627"/>
      <c r="T11" s="1627"/>
      <c r="U11" s="1627"/>
      <c r="V11" s="1627">
        <f t="shared" ref="V11:V39" si="1">K11+M11+N11+O11+P11+Q11+R11+S11+T11+U11</f>
        <v>226335200</v>
      </c>
      <c r="W11" s="1638">
        <f>N11+O11+P11+Q11+R11+S11+T11+U11</f>
        <v>0</v>
      </c>
      <c r="X11" s="913"/>
      <c r="Y11" s="914"/>
      <c r="Z11" s="914"/>
    </row>
    <row r="12" spans="1:27" s="915" customFormat="1" ht="24.75" customHeight="1" thickBot="1">
      <c r="A12" s="4728" t="s">
        <v>278</v>
      </c>
      <c r="B12" s="4729"/>
      <c r="C12" s="1628">
        <f>+'Tab. 6A -Drogi'!E377+'Tab. 6G - Roln i ochrona środ.'!E146+'Tab. 6G - Roln i ochrona środ.'!E173</f>
        <v>0</v>
      </c>
      <c r="D12" s="1628">
        <f>+'Tab. 6A -Drogi'!F377+'Tab. 6G - Roln i ochrona środ.'!F146+'Tab. 6G - Roln i ochrona środ.'!F173</f>
        <v>0</v>
      </c>
      <c r="E12" s="1628">
        <f>+'Tab. 6A -Drogi'!G377+'Tab. 6G - Roln i ochrona środ.'!G146+'Tab. 6G - Roln i ochrona środ.'!G173</f>
        <v>0</v>
      </c>
      <c r="F12" s="1628">
        <f>+'Tab. 6A -Drogi'!H377+'Tab. 6G - Roln i ochrona środ.'!H146+'Tab. 6G - Roln i ochrona środ.'!H173</f>
        <v>0</v>
      </c>
      <c r="G12" s="1628">
        <f>+'Tab. 6A -Drogi'!I377+'Tab. 6G - Roln i ochrona środ.'!I146+'Tab. 6G - Roln i ochrona środ.'!I173</f>
        <v>0</v>
      </c>
      <c r="H12" s="1628">
        <f>+'Tab. 6A -Drogi'!J377+'Tab. 6G - Roln i ochrona środ.'!J146+'Tab. 6G - Roln i ochrona środ.'!J173</f>
        <v>5665000</v>
      </c>
      <c r="I12" s="1628">
        <f>+'Tab. 6A -Drogi'!K377+'Tab. 6G - Roln i ochrona środ.'!K146+'Tab. 6G - Roln i ochrona środ.'!K173</f>
        <v>6250000</v>
      </c>
      <c r="J12" s="1628">
        <f>+'Tab. 6A -Drogi'!L377+'Tab. 6G - Roln i ochrona środ.'!L146+'Tab. 6G - Roln i ochrona środ.'!L173</f>
        <v>41766880</v>
      </c>
      <c r="K12" s="1628">
        <f>+'Tab. 6A -Drogi'!M377+'Tab. 6G - Roln i ochrona środ.'!M146+'Tab. 6G - Roln i ochrona środ.'!M173</f>
        <v>140309230</v>
      </c>
      <c r="L12" s="1628">
        <f>+'Tab. 6A -Drogi'!N377+'Tab. 6G - Roln i ochrona środ.'!N146+'Tab. 6G - Roln i ochrona środ.'!N173</f>
        <v>86627350</v>
      </c>
      <c r="M12" s="1628">
        <f>+'Tab. 6A -Drogi'!O377+'Tab. 6G - Roln i ochrona środ.'!O173</f>
        <v>70878432</v>
      </c>
      <c r="N12" s="1628">
        <f>+'Tab. 6A -Drogi'!P377+'Tab. 6G - Roln i ochrona środ.'!P173</f>
        <v>13920000</v>
      </c>
      <c r="O12" s="1628">
        <f>+'Tab. 6A -Drogi'!Q377+'Tab. 6G - Roln i ochrona środ.'!Q173</f>
        <v>0</v>
      </c>
      <c r="P12" s="1628">
        <f>+'Tab. 6A -Drogi'!R377+'Tab. 6G - Roln i ochrona środ.'!R173</f>
        <v>0</v>
      </c>
      <c r="Q12" s="1628">
        <f>+'Tab. 6A -Drogi'!S377+'Tab. 6G - Roln i ochrona środ.'!S173</f>
        <v>0</v>
      </c>
      <c r="R12" s="1628">
        <f>+'Tab. 6A -Drogi'!T377+'Tab. 6G - Roln i ochrona środ.'!T173</f>
        <v>0</v>
      </c>
      <c r="S12" s="1628">
        <f>+'Tab. 6A -Drogi'!U377+'Tab. 6G - Roln i ochrona środ.'!U173</f>
        <v>0</v>
      </c>
      <c r="T12" s="1628">
        <f>+'Tab. 6A -Drogi'!V377+'Tab. 6G - Roln i ochrona środ.'!V173</f>
        <v>0</v>
      </c>
      <c r="U12" s="1628">
        <f>+'Tab. 6A -Drogi'!W377+'Tab. 6G - Roln i ochrona środ.'!W173</f>
        <v>0</v>
      </c>
      <c r="V12" s="1628">
        <f t="shared" si="1"/>
        <v>225107662</v>
      </c>
      <c r="W12" s="1639" t="s">
        <v>77</v>
      </c>
      <c r="X12" s="913"/>
      <c r="Y12" s="914"/>
      <c r="Z12" s="914"/>
    </row>
    <row r="13" spans="1:27" s="915" customFormat="1" ht="24.75" customHeight="1" thickBot="1">
      <c r="A13" s="4742" t="s">
        <v>279</v>
      </c>
      <c r="B13" s="4743"/>
      <c r="C13" s="1627">
        <f>+'Tab. 6G - Roln i ochrona środ.'!E93+'Tab. 6G - Roln i ochrona środ.'!E106+'Tab. 6G - Roln i ochrona środ.'!E121</f>
        <v>20950039</v>
      </c>
      <c r="D13" s="1627">
        <f>+'Tab. 6G - Roln i ochrona środ.'!F93+'Tab. 6G - Roln i ochrona środ.'!F106+'Tab. 6G - Roln i ochrona środ.'!F121</f>
        <v>285042</v>
      </c>
      <c r="E13" s="1627">
        <f>+'Tab. 6G - Roln i ochrona środ.'!G93+'Tab. 6G - Roln i ochrona środ.'!G106+'Tab. 6G - Roln i ochrona środ.'!G121</f>
        <v>2189094</v>
      </c>
      <c r="F13" s="1627">
        <f>+'Tab. 6G - Roln i ochrona środ.'!H93+'Tab. 6G - Roln i ochrona środ.'!H106+'Tab. 6G - Roln i ochrona środ.'!H121</f>
        <v>21444849</v>
      </c>
      <c r="G13" s="1627">
        <f>+'Tab. 6G - Roln i ochrona środ.'!I93+'Tab. 6G - Roln i ochrona środ.'!I106+'Tab. 6G - Roln i ochrona środ.'!I121</f>
        <v>28970336</v>
      </c>
      <c r="H13" s="1627">
        <f>+'Tab. 6G - Roln i ochrona środ.'!J93+'Tab. 6G - Roln i ochrona środ.'!J106+'Tab. 6G - Roln i ochrona środ.'!J121</f>
        <v>35259001</v>
      </c>
      <c r="I13" s="1627">
        <f>+'Tab. 6G - Roln i ochrona środ.'!K93+'Tab. 6G - Roln i ochrona środ.'!K106+'Tab. 6G - Roln i ochrona środ.'!K121</f>
        <v>34806613</v>
      </c>
      <c r="J13" s="1627">
        <f>+'Tab. 6G - Roln i ochrona środ.'!L93+'Tab. 6G - Roln i ochrona środ.'!L106+'Tab. 6G - Roln i ochrona środ.'!L121</f>
        <v>28425249</v>
      </c>
      <c r="K13" s="1627">
        <f>'Tab. 6G - Roln i ochrona środ.'!M93+'Tab. 6G - Roln i ochrona środ.'!M106+'Tab. 6G - Roln i ochrona środ.'!M121+'Tab. 6G - Roln i ochrona środ.'!M140</f>
        <v>176686591</v>
      </c>
      <c r="L13" s="1627">
        <f>'Tab. 6G - Roln i ochrona środ.'!N93+'Tab. 6G - Roln i ochrona środ.'!N106+'Tab. 6G - Roln i ochrona środ.'!N121+'Tab. 6G - Roln i ochrona środ.'!N140</f>
        <v>28275353</v>
      </c>
      <c r="M13" s="1627">
        <f>'Tab. 6G - Roln i ochrona środ.'!O93+'Tab. 6G - Roln i ochrona środ.'!O106+'Tab. 6G - Roln i ochrona środ.'!O121+'Tab. 6G - Roln i ochrona środ.'!O140</f>
        <v>14157629</v>
      </c>
      <c r="N13" s="1627">
        <f>'Tab. 6G - Roln i ochrona środ.'!P93+'Tab. 6G - Roln i ochrona środ.'!P106+'Tab. 6G - Roln i ochrona środ.'!P121+'Tab. 6G - Roln i ochrona środ.'!P140</f>
        <v>5500000</v>
      </c>
      <c r="O13" s="1627">
        <f>'Tab. 6G - Roln i ochrona środ.'!Q93+'Tab. 6G - Roln i ochrona środ.'!Q106+'Tab. 6G - Roln i ochrona środ.'!Q121+'Tab. 6G - Roln i ochrona środ.'!Q140</f>
        <v>3063610</v>
      </c>
      <c r="P13" s="1627">
        <f>'Tab. 6G - Roln i ochrona środ.'!R93+'Tab. 6G - Roln i ochrona środ.'!R106+'Tab. 6G - Roln i ochrona środ.'!R121+'Tab. 6G - Roln i ochrona środ.'!R140</f>
        <v>2500000</v>
      </c>
      <c r="Q13" s="1627">
        <f>'Tab. 6G - Roln i ochrona środ.'!S93+'Tab. 6G - Roln i ochrona środ.'!S106+'Tab. 6G - Roln i ochrona środ.'!S121+'Tab. 6G - Roln i ochrona środ.'!S140</f>
        <v>2500000</v>
      </c>
      <c r="R13" s="1627">
        <f>'Tab. 6G - Roln i ochrona środ.'!T93+'Tab. 6G - Roln i ochrona środ.'!T106+'Tab. 6G - Roln i ochrona środ.'!T121+'Tab. 6G - Roln i ochrona środ.'!T140</f>
        <v>0</v>
      </c>
      <c r="S13" s="1627">
        <f>'Tab. 6G - Roln i ochrona środ.'!U93+'Tab. 6G - Roln i ochrona środ.'!U106+'Tab. 6G - Roln i ochrona środ.'!U121+'Tab. 6G - Roln i ochrona środ.'!U140</f>
        <v>0</v>
      </c>
      <c r="T13" s="1627">
        <f>'Tab. 6G - Roln i ochrona środ.'!V93+'Tab. 6G - Roln i ochrona środ.'!V106+'Tab. 6G - Roln i ochrona środ.'!V121+'Tab. 6G - Roln i ochrona środ.'!V140</f>
        <v>0</v>
      </c>
      <c r="U13" s="1627">
        <f>'Tab. 6G - Roln i ochrona środ.'!W93+'Tab. 6G - Roln i ochrona środ.'!W106+'Tab. 6G - Roln i ochrona środ.'!W121+'Tab. 6G - Roln i ochrona środ.'!W140</f>
        <v>0</v>
      </c>
      <c r="V13" s="1627">
        <f t="shared" si="1"/>
        <v>204407830</v>
      </c>
      <c r="W13" s="1638">
        <f>N13+O13+P13+Q13+R13+S13+T13+U13</f>
        <v>13563610</v>
      </c>
      <c r="X13" s="913"/>
      <c r="Y13" s="914"/>
      <c r="Z13" s="914"/>
    </row>
    <row r="14" spans="1:27" s="915" customFormat="1" ht="24.75" customHeight="1" thickBot="1">
      <c r="A14" s="4728" t="s">
        <v>280</v>
      </c>
      <c r="B14" s="4729"/>
      <c r="C14" s="1628">
        <f>+'Tab. 6G - Roln i ochrona środ.'!E99+'Tab. 6G - Roln i ochrona środ.'!E113+'Tab. 6G - Roln i ochrona środ.'!E127</f>
        <v>16498779</v>
      </c>
      <c r="D14" s="1628">
        <f>+'Tab. 6G - Roln i ochrona środ.'!F99+'Tab. 6G - Roln i ochrona środ.'!F113+'Tab. 6G - Roln i ochrona środ.'!F127</f>
        <v>0</v>
      </c>
      <c r="E14" s="1628">
        <f>+'Tab. 6G - Roln i ochrona środ.'!G99+'Tab. 6G - Roln i ochrona środ.'!G113+'Tab. 6G - Roln i ochrona środ.'!G127</f>
        <v>0</v>
      </c>
      <c r="F14" s="1628">
        <f>+'Tab. 6G - Roln i ochrona środ.'!H99+'Tab. 6G - Roln i ochrona środ.'!H113+'Tab. 6G - Roln i ochrona środ.'!H127</f>
        <v>18547745</v>
      </c>
      <c r="G14" s="1628">
        <f>+'Tab. 6G - Roln i ochrona środ.'!I99+'Tab. 6G - Roln i ochrona środ.'!I113+'Tab. 6G - Roln i ochrona środ.'!I127</f>
        <v>29382716</v>
      </c>
      <c r="H14" s="1628">
        <f>+'Tab. 6G - Roln i ochrona środ.'!J99+'Tab. 6G - Roln i ochrona środ.'!J113+'Tab. 6G - Roln i ochrona środ.'!J127</f>
        <v>36751626</v>
      </c>
      <c r="I14" s="1628">
        <f>+'Tab. 6G - Roln i ochrona środ.'!K99+'Tab. 6G - Roln i ochrona środ.'!K113+'Tab. 6G - Roln i ochrona środ.'!K127</f>
        <v>36501278</v>
      </c>
      <c r="J14" s="1628">
        <f>+'Tab. 6G - Roln i ochrona środ.'!L99+'Tab. 6G - Roln i ochrona środ.'!L113+'Tab. 6G - Roln i ochrona środ.'!L127</f>
        <v>28705855</v>
      </c>
      <c r="K14" s="1628">
        <f>+'Tab. 6G - Roln i ochrona środ.'!M99+'Tab. 6G - Roln i ochrona środ.'!M113+'Tab. 6G - Roln i ochrona środ.'!M127+'Tab. 6G - Roln i ochrona środ.'!M146</f>
        <v>175792658</v>
      </c>
      <c r="L14" s="1628">
        <f>+'Tab. 6G - Roln i ochrona środ.'!N99+'Tab. 6G - Roln i ochrona środ.'!N113+'Tab. 6G - Roln i ochrona środ.'!N127+'Tab. 6G - Roln i ochrona środ.'!N146</f>
        <v>27952404</v>
      </c>
      <c r="M14" s="1628">
        <f>+'Tab. 6G - Roln i ochrona środ.'!O99+'Tab. 6G - Roln i ochrona środ.'!O113+'Tab. 6G - Roln i ochrona środ.'!O127+'Tab. 6G - Roln i ochrona środ.'!O146</f>
        <v>14306009</v>
      </c>
      <c r="N14" s="1628">
        <f>+'Tab. 6G - Roln i ochrona środ.'!P99+'Tab. 6G - Roln i ochrona środ.'!P113+'Tab. 6G - Roln i ochrona środ.'!P127+'Tab. 6G - Roln i ochrona środ.'!P146</f>
        <v>5500000</v>
      </c>
      <c r="O14" s="1628">
        <f>+'Tab. 6G - Roln i ochrona środ.'!Q99+'Tab. 6G - Roln i ochrona środ.'!Q113+'Tab. 6G - Roln i ochrona środ.'!Q127+'Tab. 6G - Roln i ochrona środ.'!Q146</f>
        <v>3063610</v>
      </c>
      <c r="P14" s="1628">
        <f>+'Tab. 6G - Roln i ochrona środ.'!R99+'Tab. 6G - Roln i ochrona środ.'!R113+'Tab. 6G - Roln i ochrona środ.'!R127+'Tab. 6G - Roln i ochrona środ.'!R146</f>
        <v>2500000</v>
      </c>
      <c r="Q14" s="1628">
        <f>+'Tab. 6G - Roln i ochrona środ.'!S99+'Tab. 6G - Roln i ochrona środ.'!S113+'Tab. 6G - Roln i ochrona środ.'!S127+'Tab. 6G - Roln i ochrona środ.'!S146</f>
        <v>2500000</v>
      </c>
      <c r="R14" s="1628">
        <f>+'Tab. 6G - Roln i ochrona środ.'!T99+'Tab. 6G - Roln i ochrona środ.'!T113+'Tab. 6G - Roln i ochrona środ.'!T127+'Tab. 6G - Roln i ochrona środ.'!T146</f>
        <v>0</v>
      </c>
      <c r="S14" s="1628">
        <f>+'Tab. 6G - Roln i ochrona środ.'!U99+'Tab. 6G - Roln i ochrona środ.'!U113+'Tab. 6G - Roln i ochrona środ.'!U127+'Tab. 6G - Roln i ochrona środ.'!U146</f>
        <v>0</v>
      </c>
      <c r="T14" s="1628">
        <f>+'Tab. 6G - Roln i ochrona środ.'!V99+'Tab. 6G - Roln i ochrona środ.'!V113+'Tab. 6G - Roln i ochrona środ.'!V127+'Tab. 6G - Roln i ochrona środ.'!V146</f>
        <v>0</v>
      </c>
      <c r="U14" s="1628">
        <f>+'Tab. 6G - Roln i ochrona środ.'!W99+'Tab. 6G - Roln i ochrona środ.'!W113+'Tab. 6G - Roln i ochrona środ.'!W127+'Tab. 6G - Roln i ochrona środ.'!W146</f>
        <v>0</v>
      </c>
      <c r="V14" s="1628">
        <f t="shared" si="1"/>
        <v>203662277</v>
      </c>
      <c r="W14" s="1639" t="s">
        <v>77</v>
      </c>
      <c r="X14" s="913"/>
      <c r="Y14" s="914"/>
      <c r="Z14" s="914"/>
    </row>
    <row r="15" spans="1:27" s="915" customFormat="1" ht="24.75" customHeight="1" thickBot="1">
      <c r="A15" s="1636" t="s">
        <v>281</v>
      </c>
      <c r="B15" s="1637"/>
      <c r="C15" s="1627">
        <f>+'Tab. 6G - Roln i ochrona środ.'!E35+'Tab. 6G - Roln i ochrona środ.'!E54</f>
        <v>83086</v>
      </c>
      <c r="D15" s="1627">
        <f>+'Tab. 6G - Roln i ochrona środ.'!F35+'Tab. 6G - Roln i ochrona środ.'!F54</f>
        <v>0</v>
      </c>
      <c r="E15" s="1627">
        <f>+'Tab. 6G - Roln i ochrona środ.'!G35+'Tab. 6G - Roln i ochrona środ.'!G54</f>
        <v>0</v>
      </c>
      <c r="F15" s="1627">
        <f>+'Tab. 6G - Roln i ochrona środ.'!H35+'Tab. 6G - Roln i ochrona środ.'!H54</f>
        <v>290640</v>
      </c>
      <c r="G15" s="1627">
        <f>+'Tab. 6G - Roln i ochrona środ.'!I35+'Tab. 6G - Roln i ochrona środ.'!I54</f>
        <v>457128</v>
      </c>
      <c r="H15" s="1627">
        <f>+'Tab. 6G - Roln i ochrona środ.'!J35+'Tab. 6G - Roln i ochrona środ.'!J54</f>
        <v>775402</v>
      </c>
      <c r="I15" s="1627">
        <f>+'Tab. 6G - Roln i ochrona środ.'!K35+'Tab. 6G - Roln i ochrona środ.'!K54</f>
        <v>1369671</v>
      </c>
      <c r="J15" s="1627">
        <f>+'Tab. 6G - Roln i ochrona środ.'!L35+'Tab. 6G - Roln i ochrona środ.'!L54</f>
        <v>1407461</v>
      </c>
      <c r="K15" s="1627">
        <f>+'Tab. 6G - Roln i ochrona środ.'!M35+'Tab. 6G - Roln i ochrona środ.'!M54</f>
        <v>5589010</v>
      </c>
      <c r="L15" s="1627">
        <f>+'Tab. 6G - Roln i ochrona środ.'!N35+'Tab. 6G - Roln i ochrona środ.'!N54</f>
        <v>1496262</v>
      </c>
      <c r="M15" s="1627">
        <f>+'Tab. 6G - Roln i ochrona środ.'!O35+'Tab. 6G - Roln i ochrona środ.'!O54</f>
        <v>1679127</v>
      </c>
      <c r="N15" s="1627">
        <f>+'Tab. 6G - Roln i ochrona środ.'!P35+'Tab. 6G - Roln i ochrona środ.'!P54</f>
        <v>0</v>
      </c>
      <c r="O15" s="1627">
        <f>+'Tab. 6G - Roln i ochrona środ.'!Q35+'Tab. 6G - Roln i ochrona środ.'!Q54</f>
        <v>0</v>
      </c>
      <c r="P15" s="1627">
        <f>+'Tab. 6G - Roln i ochrona środ.'!R35+'Tab. 6G - Roln i ochrona środ.'!R54</f>
        <v>0</v>
      </c>
      <c r="Q15" s="1627">
        <f>+'Tab. 6G - Roln i ochrona środ.'!S35+'Tab. 6G - Roln i ochrona środ.'!S54</f>
        <v>0</v>
      </c>
      <c r="R15" s="1627">
        <f>+'Tab. 6G - Roln i ochrona środ.'!T35+'Tab. 6G - Roln i ochrona środ.'!T54</f>
        <v>0</v>
      </c>
      <c r="S15" s="1627">
        <f>+'Tab. 6G - Roln i ochrona środ.'!U35+'Tab. 6G - Roln i ochrona środ.'!U54</f>
        <v>0</v>
      </c>
      <c r="T15" s="1627">
        <f>+'Tab. 6G - Roln i ochrona środ.'!V35+'Tab. 6G - Roln i ochrona środ.'!V54</f>
        <v>0</v>
      </c>
      <c r="U15" s="1627">
        <f>+'Tab. 6G - Roln i ochrona środ.'!W35+'Tab. 6G - Roln i ochrona środ.'!W54</f>
        <v>0</v>
      </c>
      <c r="V15" s="1627">
        <f t="shared" si="1"/>
        <v>7268137</v>
      </c>
      <c r="W15" s="1638">
        <f>N15+O15+P15+Q15+R15+S15+T15+U15</f>
        <v>0</v>
      </c>
      <c r="X15" s="913"/>
      <c r="Y15" s="914"/>
      <c r="Z15" s="914"/>
    </row>
    <row r="16" spans="1:27" s="915" customFormat="1" ht="24.75" customHeight="1" thickBot="1">
      <c r="A16" s="4728" t="s">
        <v>282</v>
      </c>
      <c r="B16" s="4729"/>
      <c r="C16" s="1628">
        <f>+'Tab. 6G - Roln i ochrona środ.'!E44+'Tab. 6G - Roln i ochrona środ.'!E61</f>
        <v>31338</v>
      </c>
      <c r="D16" s="1628">
        <f>+'Tab. 6G - Roln i ochrona środ.'!F44+'Tab. 6G - Roln i ochrona środ.'!F61</f>
        <v>0</v>
      </c>
      <c r="E16" s="1628">
        <f>+'Tab. 6G - Roln i ochrona środ.'!G44+'Tab. 6G - Roln i ochrona środ.'!G61</f>
        <v>0</v>
      </c>
      <c r="F16" s="1628">
        <f>+'Tab. 6G - Roln i ochrona środ.'!H44+'Tab. 6G - Roln i ochrona środ.'!H61</f>
        <v>290640</v>
      </c>
      <c r="G16" s="1628">
        <f>+'Tab. 6G - Roln i ochrona środ.'!I44+'Tab. 6G - Roln i ochrona środ.'!I61</f>
        <v>410806</v>
      </c>
      <c r="H16" s="1628">
        <f>+'Tab. 6G - Roln i ochrona środ.'!J44+'Tab. 6G - Roln i ochrona środ.'!J61</f>
        <v>745694</v>
      </c>
      <c r="I16" s="1628">
        <f>+'Tab. 6G - Roln i ochrona środ.'!K44+'Tab. 6G - Roln i ochrona środ.'!K61</f>
        <v>1440367</v>
      </c>
      <c r="J16" s="1628">
        <f>+'Tab. 6G - Roln i ochrona środ.'!L44+'Tab. 6G - Roln i ochrona środ.'!L61</f>
        <v>1407461</v>
      </c>
      <c r="K16" s="1628">
        <f>+'Tab. 6G - Roln i ochrona środ.'!M44+'Tab. 6G - Roln i ochrona środ.'!M61</f>
        <v>5497193</v>
      </c>
      <c r="L16" s="1628">
        <f>+'Tab. 6G - Roln i ochrona środ.'!N44+'Tab. 6G - Roln i ochrona środ.'!N61</f>
        <v>1461527</v>
      </c>
      <c r="M16" s="1628">
        <f>+'Tab. 6G - Roln i ochrona środ.'!O44+'Tab. 6G - Roln i ochrona środ.'!O61</f>
        <v>1713862</v>
      </c>
      <c r="N16" s="1628">
        <f>+'Tab. 6G - Roln i ochrona środ.'!P44+'Tab. 6G - Roln i ochrona środ.'!P61</f>
        <v>0</v>
      </c>
      <c r="O16" s="1628">
        <f>+'Tab. 6G - Roln i ochrona środ.'!Q44+'Tab. 6G - Roln i ochrona środ.'!Q61</f>
        <v>0</v>
      </c>
      <c r="P16" s="1628">
        <f>+'Tab. 6G - Roln i ochrona środ.'!R44+'Tab. 6G - Roln i ochrona środ.'!R61</f>
        <v>0</v>
      </c>
      <c r="Q16" s="1628">
        <f>+'Tab. 6G - Roln i ochrona środ.'!S44+'Tab. 6G - Roln i ochrona środ.'!S61</f>
        <v>0</v>
      </c>
      <c r="R16" s="1628">
        <f>+'Tab. 6G - Roln i ochrona środ.'!T44+'Tab. 6G - Roln i ochrona środ.'!T61</f>
        <v>0</v>
      </c>
      <c r="S16" s="1628">
        <f>+'Tab. 6G - Roln i ochrona środ.'!U44+'Tab. 6G - Roln i ochrona środ.'!U61</f>
        <v>0</v>
      </c>
      <c r="T16" s="1628">
        <f>+'Tab. 6G - Roln i ochrona środ.'!V44+'Tab. 6G - Roln i ochrona środ.'!V61</f>
        <v>0</v>
      </c>
      <c r="U16" s="1628">
        <f>+'Tab. 6G - Roln i ochrona środ.'!W44+'Tab. 6G - Roln i ochrona środ.'!W61</f>
        <v>0</v>
      </c>
      <c r="V16" s="1628">
        <f t="shared" si="1"/>
        <v>7211055</v>
      </c>
      <c r="W16" s="1639" t="s">
        <v>77</v>
      </c>
      <c r="X16" s="913"/>
      <c r="Y16" s="914"/>
      <c r="Z16" s="914"/>
    </row>
    <row r="17" spans="1:26" s="915" customFormat="1" ht="24.75" customHeight="1" thickBot="1">
      <c r="A17" s="4730" t="s">
        <v>283</v>
      </c>
      <c r="B17" s="4731"/>
      <c r="C17" s="1627">
        <f>+'Tab. 6G - Roln i ochrona środ.'!E69+'Tab. 6G - Roln i ochrona środ.'!E82</f>
        <v>0</v>
      </c>
      <c r="D17" s="1627">
        <f>+'Tab. 6G - Roln i ochrona środ.'!F69+'Tab. 6G - Roln i ochrona środ.'!F82</f>
        <v>0</v>
      </c>
      <c r="E17" s="1627">
        <f>+'Tab. 6G - Roln i ochrona środ.'!G69+'Tab. 6G - Roln i ochrona środ.'!G82</f>
        <v>0</v>
      </c>
      <c r="F17" s="1627">
        <f>+'Tab. 6G - Roln i ochrona środ.'!H69+'Tab. 6G - Roln i ochrona środ.'!H82</f>
        <v>0</v>
      </c>
      <c r="G17" s="1627">
        <f>+'Tab. 6G - Roln i ochrona środ.'!I69+'Tab. 6G - Roln i ochrona środ.'!I82</f>
        <v>0</v>
      </c>
      <c r="H17" s="1627">
        <f>+'Tab. 6G - Roln i ochrona środ.'!J69+'Tab. 6G - Roln i ochrona środ.'!J82</f>
        <v>629249</v>
      </c>
      <c r="I17" s="1627">
        <f>+'Tab. 6G - Roln i ochrona środ.'!K69+'Tab. 6G - Roln i ochrona środ.'!K82</f>
        <v>5990094</v>
      </c>
      <c r="J17" s="1627">
        <f>+'Tab. 6G - Roln i ochrona środ.'!L69+'Tab. 6G - Roln i ochrona środ.'!L82</f>
        <v>4311439</v>
      </c>
      <c r="K17" s="1627">
        <f>+'Tab. 6G - Roln i ochrona środ.'!M69+'Tab. 6G - Roln i ochrona środ.'!M82</f>
        <v>14035549</v>
      </c>
      <c r="L17" s="1627">
        <f>+'Tab. 6G - Roln i ochrona środ.'!N69+'Tab. 6G - Roln i ochrona środ.'!N82</f>
        <v>3104767</v>
      </c>
      <c r="M17" s="1627">
        <f>+'Tab. 6G - Roln i ochrona środ.'!O69+'Tab. 6G - Roln i ochrona środ.'!O82</f>
        <v>4958231</v>
      </c>
      <c r="N17" s="1627">
        <f>+'Tab. 6G - Roln i ochrona środ.'!P69+'Tab. 6G - Roln i ochrona środ.'!P82</f>
        <v>11766868</v>
      </c>
      <c r="O17" s="1627">
        <f>+'Tab. 6G - Roln i ochrona środ.'!Q69+'Tab. 6G - Roln i ochrona środ.'!Q82</f>
        <v>4182996</v>
      </c>
      <c r="P17" s="1627">
        <f>+'Tab. 6G - Roln i ochrona środ.'!R69+'Tab. 6G - Roln i ochrona środ.'!R82</f>
        <v>0</v>
      </c>
      <c r="Q17" s="1627">
        <f>+'Tab. 6G - Roln i ochrona środ.'!S69+'Tab. 6G - Roln i ochrona środ.'!S82</f>
        <v>0</v>
      </c>
      <c r="R17" s="1627">
        <f>+'Tab. 6G - Roln i ochrona środ.'!T69+'Tab. 6G - Roln i ochrona środ.'!T82</f>
        <v>0</v>
      </c>
      <c r="S17" s="1627">
        <f>+'Tab. 6G - Roln i ochrona środ.'!U69+'Tab. 6G - Roln i ochrona środ.'!U82</f>
        <v>0</v>
      </c>
      <c r="T17" s="1627">
        <f>+'Tab. 6G - Roln i ochrona środ.'!V69+'Tab. 6G - Roln i ochrona środ.'!V82</f>
        <v>0</v>
      </c>
      <c r="U17" s="1627">
        <f>+'Tab. 6G - Roln i ochrona środ.'!W69+'Tab. 6G - Roln i ochrona środ.'!W82</f>
        <v>0</v>
      </c>
      <c r="V17" s="1627">
        <f t="shared" si="1"/>
        <v>34943644</v>
      </c>
      <c r="W17" s="1638">
        <f>N17+O17+P17+Q17+R17+S17+T17+U17</f>
        <v>15949864</v>
      </c>
      <c r="X17" s="913"/>
      <c r="Y17" s="914"/>
      <c r="Z17" s="914"/>
    </row>
    <row r="18" spans="1:26" s="915" customFormat="1" ht="24.75" customHeight="1" thickBot="1">
      <c r="A18" s="4728" t="s">
        <v>284</v>
      </c>
      <c r="B18" s="4729"/>
      <c r="C18" s="1628">
        <f>+'Tab. 6G - Roln i ochrona środ.'!E74+'Tab. 6G - Roln i ochrona środ.'!E87</f>
        <v>0</v>
      </c>
      <c r="D18" s="1628">
        <f>+'Tab. 6G - Roln i ochrona środ.'!F74+'Tab. 6G - Roln i ochrona środ.'!F87</f>
        <v>0</v>
      </c>
      <c r="E18" s="1628">
        <f>+'Tab. 6G - Roln i ochrona środ.'!G74+'Tab. 6G - Roln i ochrona środ.'!G87</f>
        <v>0</v>
      </c>
      <c r="F18" s="1628">
        <f>+'Tab. 6G - Roln i ochrona środ.'!H74+'Tab. 6G - Roln i ochrona środ.'!H87</f>
        <v>0</v>
      </c>
      <c r="G18" s="1628">
        <f>+'Tab. 6G - Roln i ochrona środ.'!I74+'Tab. 6G - Roln i ochrona środ.'!I87</f>
        <v>0</v>
      </c>
      <c r="H18" s="1628">
        <f>+'Tab. 6G - Roln i ochrona środ.'!J74+'Tab. 6G - Roln i ochrona środ.'!J87</f>
        <v>3544011</v>
      </c>
      <c r="I18" s="1628">
        <f>+'Tab. 6G - Roln i ochrona środ.'!K74+'Tab. 6G - Roln i ochrona środ.'!K87</f>
        <v>8207133</v>
      </c>
      <c r="J18" s="1628">
        <f>+'Tab. 6G - Roln i ochrona środ.'!L74+'Tab. 6G - Roln i ochrona środ.'!L87</f>
        <v>6670133</v>
      </c>
      <c r="K18" s="1628">
        <f>+'Tab. 6G - Roln i ochrona środ.'!M74+'Tab. 6G - Roln i ochrona środ.'!M87</f>
        <v>18421277</v>
      </c>
      <c r="L18" s="1628">
        <f>+'Tab. 6G - Roln i ochrona środ.'!N74+'Tab. 6G - Roln i ochrona środ.'!N87</f>
        <v>0</v>
      </c>
      <c r="M18" s="1628">
        <f>+'Tab. 6G - Roln i ochrona środ.'!O74+'Tab. 6G - Roln i ochrona środ.'!O87</f>
        <v>303250</v>
      </c>
      <c r="N18" s="1628">
        <f>+'Tab. 6G - Roln i ochrona środ.'!P74+'Tab. 6G - Roln i ochrona środ.'!P87</f>
        <v>9887234</v>
      </c>
      <c r="O18" s="1628">
        <f>+'Tab. 6G - Roln i ochrona środ.'!Q74+'Tab. 6G - Roln i ochrona środ.'!Q87</f>
        <v>1057943</v>
      </c>
      <c r="P18" s="1628">
        <f>+'Tab. 6G - Roln i ochrona środ.'!R74+'Tab. 6G - Roln i ochrona środ.'!R87</f>
        <v>5273940</v>
      </c>
      <c r="Q18" s="1628">
        <f>+'Tab. 6G - Roln i ochrona środ.'!S74+'Tab. 6G - Roln i ochrona środ.'!S87</f>
        <v>0</v>
      </c>
      <c r="R18" s="1628">
        <f>+'Tab. 6G - Roln i ochrona środ.'!T74+'Tab. 6G - Roln i ochrona środ.'!T87</f>
        <v>0</v>
      </c>
      <c r="S18" s="1628">
        <f>+'Tab. 6G - Roln i ochrona środ.'!U74+'Tab. 6G - Roln i ochrona środ.'!U87</f>
        <v>0</v>
      </c>
      <c r="T18" s="1628">
        <f>+'Tab. 6G - Roln i ochrona środ.'!V74+'Tab. 6G - Roln i ochrona środ.'!V87</f>
        <v>0</v>
      </c>
      <c r="U18" s="1628">
        <f>+'Tab. 6G - Roln i ochrona środ.'!W74+'Tab. 6G - Roln i ochrona środ.'!W87</f>
        <v>0</v>
      </c>
      <c r="V18" s="1628">
        <f t="shared" si="1"/>
        <v>34943644</v>
      </c>
      <c r="W18" s="1639" t="s">
        <v>77</v>
      </c>
      <c r="X18" s="913"/>
      <c r="Y18" s="914"/>
      <c r="Z18" s="914"/>
    </row>
    <row r="19" spans="1:26" s="915" customFormat="1" ht="24.75" customHeight="1" thickBot="1">
      <c r="A19" s="4724" t="s">
        <v>285</v>
      </c>
      <c r="B19" s="4725"/>
      <c r="C19" s="1627">
        <f>+'Tab. 6E - Administracja'!E28+'Tab. 6E - Administracja'!E39</f>
        <v>0</v>
      </c>
      <c r="D19" s="1627">
        <f>+'Tab. 6E - Administracja'!F28+'Tab. 6E - Administracja'!F39</f>
        <v>0</v>
      </c>
      <c r="E19" s="1627">
        <f>+'Tab. 6E - Administracja'!G28+'Tab. 6E - Administracja'!G39</f>
        <v>0</v>
      </c>
      <c r="F19" s="1627">
        <f>+'Tab. 6E - Administracja'!H28+'Tab. 6E - Administracja'!H39</f>
        <v>0</v>
      </c>
      <c r="G19" s="1627">
        <f>+'Tab. 6E - Administracja'!I28+'Tab. 6E - Administracja'!I39</f>
        <v>0</v>
      </c>
      <c r="H19" s="1627">
        <f>+'Tab. 6E - Administracja'!J28+'Tab. 6E - Administracja'!J39</f>
        <v>0</v>
      </c>
      <c r="I19" s="1627">
        <f>+'Tab. 6E - Administracja'!K28+'Tab. 6E - Administracja'!K39</f>
        <v>0</v>
      </c>
      <c r="J19" s="1627">
        <f>+'Tab. 6E - Administracja'!L28+'Tab. 6E - Administracja'!L39</f>
        <v>0</v>
      </c>
      <c r="K19" s="1627">
        <f>+'Tab. 6E - Administracja'!M28+'Tab. 6E - Administracja'!M39+'Tab. 6E - Administracja'!M50+'Tab. 6E - Administracja'!M61+'Tab. 6E - Administracja'!M233+'Tab. 6E - Administracja'!M234+'Tab. 6E - Administracja'!M237</f>
        <v>0</v>
      </c>
      <c r="L19" s="1627">
        <f>+'Tab. 6E - Administracja'!N28+'Tab. 6E - Administracja'!N39+'Tab. 6E - Administracja'!N50+'Tab. 6E - Administracja'!N61</f>
        <v>309477</v>
      </c>
      <c r="M19" s="1627">
        <f>+'Tab. 6E - Administracja'!O28+'Tab. 6E - Administracja'!O39+'Tab. 6E - Administracja'!O50+'Tab. 6E - Administracja'!O61+'Tab. 6E - Administracja'!O233+'Tab. 6E - Administracja'!O234+'Tab. 6E - Administracja'!O237</f>
        <v>1900000</v>
      </c>
      <c r="N19" s="1627">
        <f>+'Tab. 6E - Administracja'!P28+'Tab. 6E - Administracja'!P39+'Tab. 6E - Administracja'!P50+'Tab. 6E - Administracja'!P61+'Tab. 6E - Administracja'!P233+'Tab. 6E - Administracja'!P234+'Tab. 6E - Administracja'!P237</f>
        <v>3442432</v>
      </c>
      <c r="O19" s="1627">
        <f>+'Tab. 6E - Administracja'!Q28+'Tab. 6E - Administracja'!Q39+'Tab. 6E - Administracja'!Q50+'Tab. 6E - Administracja'!Q61+'Tab. 6E - Administracja'!Q233+'Tab. 6E - Administracja'!Q234+'Tab. 6E - Administracja'!Q237</f>
        <v>4998676</v>
      </c>
      <c r="P19" s="1627">
        <f>+'Tab. 6E - Administracja'!R28+'Tab. 6E - Administracja'!R39+'Tab. 6E - Administracja'!R50+'Tab. 6E - Administracja'!R61+'Tab. 6E - Administracja'!R233+'Tab. 6E - Administracja'!R234+'Tab. 6E - Administracja'!R237</f>
        <v>3300892</v>
      </c>
      <c r="Q19" s="1627">
        <f>+'Tab. 6E - Administracja'!S28+'Tab. 6E - Administracja'!S39+'Tab. 6E - Administracja'!S50+'Tab. 6E - Administracja'!S61</f>
        <v>1500000</v>
      </c>
      <c r="R19" s="1627">
        <f>+'Tab. 6E - Administracja'!T28+'Tab. 6E - Administracja'!T39+'Tab. 6E - Administracja'!T50+'Tab. 6E - Administracja'!T61</f>
        <v>1400000</v>
      </c>
      <c r="S19" s="1627">
        <f>+'Tab. 6E - Administracja'!U28+'Tab. 6E - Administracja'!U39+'Tab. 6E - Administracja'!U50+'Tab. 6E - Administracja'!U61</f>
        <v>0</v>
      </c>
      <c r="T19" s="1627">
        <f>+'Tab. 6E - Administracja'!V28+'Tab. 6E - Administracja'!V39+'Tab. 6E - Administracja'!V50+'Tab. 6E - Administracja'!V61</f>
        <v>0</v>
      </c>
      <c r="U19" s="1627">
        <f>+'Tab. 6E - Administracja'!W28+'Tab. 6E - Administracja'!W39+'Tab. 6E - Administracja'!W50+'Tab. 6E - Administracja'!W61</f>
        <v>0</v>
      </c>
      <c r="V19" s="1627">
        <f t="shared" si="1"/>
        <v>16542000</v>
      </c>
      <c r="W19" s="1638">
        <f>N19+O19+P19+Q19+R19+S19+T19+U19</f>
        <v>14642000</v>
      </c>
      <c r="X19" s="913">
        <f>'Tab. 6E - Administracja'!O28+'Tab. 6E - Administracja'!O39+'Tab. 6E - Administracja'!O50+'Tab. 6E - Administracja'!O61</f>
        <v>1900000</v>
      </c>
      <c r="Y19" s="914"/>
      <c r="Z19" s="914"/>
    </row>
    <row r="20" spans="1:26" s="915" customFormat="1" ht="24.75" customHeight="1" thickBot="1">
      <c r="A20" s="4728" t="s">
        <v>286</v>
      </c>
      <c r="B20" s="4729"/>
      <c r="C20" s="1628">
        <f>+'Tab. 6E - Administracja'!E33+'Tab. 6E - Administracja'!E44</f>
        <v>0</v>
      </c>
      <c r="D20" s="1628">
        <f>+'Tab. 6E - Administracja'!F33+'Tab. 6E - Administracja'!F44</f>
        <v>0</v>
      </c>
      <c r="E20" s="1628">
        <f>+'Tab. 6E - Administracja'!G33+'Tab. 6E - Administracja'!G44</f>
        <v>0</v>
      </c>
      <c r="F20" s="1628">
        <f>+'Tab. 6E - Administracja'!H33+'Tab. 6E - Administracja'!H44</f>
        <v>0</v>
      </c>
      <c r="G20" s="1628">
        <f>+'Tab. 6E - Administracja'!I33+'Tab. 6E - Administracja'!I44</f>
        <v>0</v>
      </c>
      <c r="H20" s="1628">
        <f>+'Tab. 6E - Administracja'!J33+'Tab. 6E - Administracja'!J44</f>
        <v>0</v>
      </c>
      <c r="I20" s="1628">
        <f>+'Tab. 6E - Administracja'!K33+'Tab. 6E - Administracja'!K44</f>
        <v>0</v>
      </c>
      <c r="J20" s="1628">
        <f>+'Tab. 6E - Administracja'!L33+'Tab. 6E - Administracja'!L44</f>
        <v>0</v>
      </c>
      <c r="K20" s="1628">
        <f>+'Tab. 6E - Administracja'!M33+'Tab. 6E - Administracja'!M44</f>
        <v>0</v>
      </c>
      <c r="L20" s="1628">
        <f>+'Tab. 6E - Administracja'!N33+'Tab. 6E - Administracja'!N44</f>
        <v>309477</v>
      </c>
      <c r="M20" s="1628">
        <f>+'Tab. 6E - Administracja'!O33+'Tab. 6E - Administracja'!O44+'Tab. 6E - Administracja'!O55+'Tab. 6E - Administracja'!O66+'Tab. 6E - Administracja'!O238</f>
        <v>1900000</v>
      </c>
      <c r="N20" s="1628">
        <f>+'Tab. 6E - Administracja'!P33+'Tab. 6E - Administracja'!P44+'Tab. 6E - Administracja'!P55+'Tab. 6E - Administracja'!P66+'Tab. 6E - Administracja'!P238</f>
        <v>3404932</v>
      </c>
      <c r="O20" s="1628">
        <f>+'Tab. 6E - Administracja'!Q33+'Tab. 6E - Administracja'!Q44+'Tab. 6E - Administracja'!Q55+'Tab. 6E - Administracja'!Q66+'Tab. 6E - Administracja'!Q238</f>
        <v>4948676</v>
      </c>
      <c r="P20" s="1628">
        <f>+'Tab. 6E - Administracja'!R33+'Tab. 6E - Administracja'!R44+'Tab. 6E - Administracja'!R55+'Tab. 6E - Administracja'!R66+'Tab. 6E - Administracja'!R238</f>
        <v>3288392</v>
      </c>
      <c r="Q20" s="1628">
        <f>+'Tab. 6E - Administracja'!S33+'Tab. 6E - Administracja'!S44+'Tab. 6E - Administracja'!S55+'Tab. 6E - Administracja'!S66</f>
        <v>1500000</v>
      </c>
      <c r="R20" s="1628">
        <f>+'Tab. 6E - Administracja'!T33+'Tab. 6E - Administracja'!T44+'Tab. 6E - Administracja'!T55+'Tab. 6E - Administracja'!T66</f>
        <v>1400000</v>
      </c>
      <c r="S20" s="1628">
        <f>+'Tab. 6E - Administracja'!U33+'Tab. 6E - Administracja'!U44+'Tab. 6E - Administracja'!U55+'Tab. 6E - Administracja'!U66</f>
        <v>0</v>
      </c>
      <c r="T20" s="1628">
        <f>+'Tab. 6E - Administracja'!V33+'Tab. 6E - Administracja'!V44+'Tab. 6E - Administracja'!V55+'Tab. 6E - Administracja'!V66</f>
        <v>0</v>
      </c>
      <c r="U20" s="1628">
        <f>+'Tab. 6E - Administracja'!W33+'Tab. 6E - Administracja'!W44+'Tab. 6E - Administracja'!W55+'Tab. 6E - Administracja'!W66</f>
        <v>0</v>
      </c>
      <c r="V20" s="1628">
        <f t="shared" si="1"/>
        <v>16442000</v>
      </c>
      <c r="W20" s="1639" t="s">
        <v>77</v>
      </c>
      <c r="X20" s="913"/>
      <c r="Y20" s="914"/>
      <c r="Z20" s="914"/>
    </row>
    <row r="21" spans="1:26" s="915" customFormat="1" ht="24.75" customHeight="1" thickBot="1">
      <c r="A21" s="4724" t="s">
        <v>287</v>
      </c>
      <c r="B21" s="4725"/>
      <c r="C21" s="1627">
        <f>+'Tab. 6B Polit społ i rozwój prz'!E162</f>
        <v>0</v>
      </c>
      <c r="D21" s="1627">
        <f>+'Tab. 6B Polit społ i rozwój prz'!F162</f>
        <v>0</v>
      </c>
      <c r="E21" s="1627">
        <f>+'Tab. 6B Polit społ i rozwój prz'!G162</f>
        <v>0</v>
      </c>
      <c r="F21" s="1627">
        <f>+'Tab. 6B Polit społ i rozwój prz'!H162</f>
        <v>0</v>
      </c>
      <c r="G21" s="1627">
        <f>+'Tab. 6B Polit społ i rozwój prz'!I162</f>
        <v>131769</v>
      </c>
      <c r="H21" s="1627">
        <f>+'Tab. 6B Polit społ i rozwój prz'!J162</f>
        <v>176006</v>
      </c>
      <c r="I21" s="1627">
        <f>+'Tab. 6B Polit społ i rozwój prz'!K162</f>
        <v>250351</v>
      </c>
      <c r="J21" s="1627">
        <f>+'Tab. 6B Polit społ i rozwój prz'!L162</f>
        <v>287879</v>
      </c>
      <c r="K21" s="1627">
        <f>+'Tab. 6B Polit społ i rozwój prz'!M162</f>
        <v>1069890</v>
      </c>
      <c r="L21" s="1627">
        <f>+'Tab. 6B Polit społ i rozwój prz'!N162</f>
        <v>223885</v>
      </c>
      <c r="M21" s="1627">
        <f>+'Tab. 6B Polit społ i rozwój prz'!O162</f>
        <v>227574</v>
      </c>
      <c r="N21" s="1627">
        <f>+'Tab. 6B Polit społ i rozwój prz'!P162</f>
        <v>0</v>
      </c>
      <c r="O21" s="1627">
        <f>+'Tab. 6B Polit społ i rozwój prz'!Q162</f>
        <v>0</v>
      </c>
      <c r="P21" s="1627">
        <f>+'Tab. 6B Polit społ i rozwój prz'!R162</f>
        <v>0</v>
      </c>
      <c r="Q21" s="1627">
        <f>+'Tab. 6B Polit społ i rozwój prz'!S162</f>
        <v>0</v>
      </c>
      <c r="R21" s="1627">
        <f>+'Tab. 6B Polit społ i rozwój prz'!T162</f>
        <v>0</v>
      </c>
      <c r="S21" s="1627">
        <f>+'Tab. 6B Polit społ i rozwój prz'!U162</f>
        <v>0</v>
      </c>
      <c r="T21" s="1627">
        <f>+'Tab. 6B Polit społ i rozwój prz'!V162</f>
        <v>0</v>
      </c>
      <c r="U21" s="1627">
        <f>+'Tab. 6B Polit społ i rozwój prz'!W162</f>
        <v>0</v>
      </c>
      <c r="V21" s="1627">
        <f t="shared" si="1"/>
        <v>1297464</v>
      </c>
      <c r="W21" s="1638">
        <f>N21+O21+P21+Q21+R21+S21+T21+U21</f>
        <v>0</v>
      </c>
      <c r="X21" s="913"/>
      <c r="Y21" s="914"/>
      <c r="Z21" s="914"/>
    </row>
    <row r="22" spans="1:26" s="915" customFormat="1" ht="22.5" customHeight="1" thickBot="1">
      <c r="A22" s="4726" t="s">
        <v>288</v>
      </c>
      <c r="B22" s="4727"/>
      <c r="C22" s="1628">
        <f>+'Tab. 6B Polit społ i rozwój prz'!E168</f>
        <v>0</v>
      </c>
      <c r="D22" s="1628">
        <f>+'Tab. 6B Polit społ i rozwój prz'!F168</f>
        <v>0</v>
      </c>
      <c r="E22" s="1628">
        <f>+'Tab. 6B Polit społ i rozwój prz'!G168</f>
        <v>0</v>
      </c>
      <c r="F22" s="1628">
        <f>+'Tab. 6B Polit społ i rozwój prz'!H168</f>
        <v>0</v>
      </c>
      <c r="G22" s="1628">
        <f>+'Tab. 6B Polit społ i rozwój prz'!I168</f>
        <v>131593</v>
      </c>
      <c r="H22" s="1628">
        <f>+'Tab. 6B Polit społ i rozwój prz'!J168</f>
        <v>173140</v>
      </c>
      <c r="I22" s="1628">
        <f>+'Tab. 6B Polit społ i rozwój prz'!K168</f>
        <v>250256</v>
      </c>
      <c r="J22" s="1628">
        <f>+'Tab. 6B Polit społ i rozwój prz'!L168</f>
        <v>287879</v>
      </c>
      <c r="K22" s="1628">
        <f>+'Tab. 6B Polit społ i rozwój prz'!M168</f>
        <v>1066753</v>
      </c>
      <c r="L22" s="1628">
        <f>+'Tab. 6B Polit społ i rozwój prz'!N168</f>
        <v>223885</v>
      </c>
      <c r="M22" s="1628">
        <f>+'Tab. 6B Polit społ i rozwój prz'!O168</f>
        <v>227574</v>
      </c>
      <c r="N22" s="1628">
        <f>+'Tab. 6B Polit społ i rozwój prz'!P168</f>
        <v>0</v>
      </c>
      <c r="O22" s="1628">
        <f>+'Tab. 6B Polit społ i rozwój prz'!Q168</f>
        <v>0</v>
      </c>
      <c r="P22" s="1628">
        <f>+'Tab. 6B Polit społ i rozwój prz'!R168</f>
        <v>0</v>
      </c>
      <c r="Q22" s="1628">
        <f>+'Tab. 6B Polit społ i rozwój prz'!S168</f>
        <v>0</v>
      </c>
      <c r="R22" s="1628">
        <f>+'Tab. 6B Polit społ i rozwój prz'!T168</f>
        <v>0</v>
      </c>
      <c r="S22" s="1628">
        <f>+'Tab. 6B Polit społ i rozwój prz'!U168</f>
        <v>0</v>
      </c>
      <c r="T22" s="1628">
        <f>+'Tab. 6B Polit społ i rozwój prz'!V168</f>
        <v>0</v>
      </c>
      <c r="U22" s="1628">
        <f>+'Tab. 6B Polit społ i rozwój prz'!W168</f>
        <v>0</v>
      </c>
      <c r="V22" s="1628">
        <f t="shared" si="1"/>
        <v>1294327</v>
      </c>
      <c r="W22" s="1639" t="s">
        <v>77</v>
      </c>
      <c r="X22" s="913"/>
      <c r="Y22" s="914"/>
      <c r="Z22" s="914"/>
    </row>
    <row r="23" spans="1:26" s="915" customFormat="1" ht="23.25" customHeight="1" thickBot="1">
      <c r="A23" s="4724" t="s">
        <v>395</v>
      </c>
      <c r="B23" s="4725"/>
      <c r="C23" s="1627"/>
      <c r="D23" s="1627"/>
      <c r="E23" s="1627"/>
      <c r="F23" s="1627"/>
      <c r="G23" s="1627"/>
      <c r="H23" s="1627"/>
      <c r="I23" s="1627"/>
      <c r="J23" s="1627"/>
      <c r="K23" s="1627">
        <f>'Tab. 6B Polit społ i rozwój prz'!M138</f>
        <v>0</v>
      </c>
      <c r="L23" s="1627">
        <f>'Tab. 6B Polit społ i rozwój prz'!N138</f>
        <v>0</v>
      </c>
      <c r="M23" s="1627">
        <f>'Tab. 6B Polit społ i rozwój prz'!O138+'Tab. 6B Polit społ i rozwój prz'!O150</f>
        <v>448847</v>
      </c>
      <c r="N23" s="1627">
        <f>'Tab. 6B Polit społ i rozwój prz'!P138+'Tab. 6B Polit społ i rozwój prz'!P150</f>
        <v>1738192</v>
      </c>
      <c r="O23" s="1627">
        <f>'Tab. 6B Polit społ i rozwój prz'!Q138+'Tab. 6B Polit społ i rozwój prz'!Q150</f>
        <v>1394000</v>
      </c>
      <c r="P23" s="1627">
        <f>'Tab. 6B Polit społ i rozwój prz'!R138+'Tab. 6B Polit społ i rozwój prz'!R150</f>
        <v>1394000</v>
      </c>
      <c r="Q23" s="1627">
        <f>'Tab. 6B Polit społ i rozwój prz'!S138</f>
        <v>0</v>
      </c>
      <c r="R23" s="1627">
        <f>'Tab. 6B Polit społ i rozwój prz'!T138</f>
        <v>0</v>
      </c>
      <c r="S23" s="1627">
        <f>'Tab. 6B Polit społ i rozwój prz'!U138</f>
        <v>0</v>
      </c>
      <c r="T23" s="1627">
        <f>'Tab. 6B Polit społ i rozwój prz'!V138</f>
        <v>0</v>
      </c>
      <c r="U23" s="1627">
        <f>'Tab. 6B Polit społ i rozwój prz'!W138</f>
        <v>0</v>
      </c>
      <c r="V23" s="1627">
        <f t="shared" si="1"/>
        <v>4975039</v>
      </c>
      <c r="W23" s="1638">
        <f>N23+O23+P23+Q23+R23+S23+T23+U23</f>
        <v>4526192</v>
      </c>
      <c r="X23" s="913"/>
      <c r="Y23" s="914"/>
      <c r="Z23" s="914"/>
    </row>
    <row r="24" spans="1:26" s="915" customFormat="1" ht="25.5" customHeight="1" thickBot="1">
      <c r="A24" s="4728" t="s">
        <v>396</v>
      </c>
      <c r="B24" s="4729"/>
      <c r="C24" s="1628"/>
      <c r="D24" s="1628"/>
      <c r="E24" s="1628"/>
      <c r="F24" s="1628"/>
      <c r="G24" s="1628"/>
      <c r="H24" s="1628"/>
      <c r="I24" s="1628"/>
      <c r="J24" s="1628"/>
      <c r="K24" s="1628">
        <f>'Tab. 6B Polit społ i rozwój prz'!M144</f>
        <v>0</v>
      </c>
      <c r="L24" s="1628">
        <f>'Tab. 6B Polit społ i rozwój prz'!N144</f>
        <v>0</v>
      </c>
      <c r="M24" s="1628">
        <f>'Tab. 6B Polit społ i rozwój prz'!O144+'Tab. 6B Polit społ i rozwój prz'!O156</f>
        <v>378288</v>
      </c>
      <c r="N24" s="1628">
        <f>'Tab. 6B Polit społ i rozwój prz'!P144+'Tab. 6B Polit społ i rozwój prz'!P156</f>
        <v>1464948</v>
      </c>
      <c r="O24" s="1628">
        <f>'Tab. 6B Polit społ i rozwój prz'!Q144+'Tab. 6B Polit społ i rozwój prz'!Q156</f>
        <v>1174863</v>
      </c>
      <c r="P24" s="1628">
        <f>'Tab. 6B Polit społ i rozwój prz'!R144+'Tab. 6B Polit społ i rozwój prz'!R156</f>
        <v>1174863</v>
      </c>
      <c r="Q24" s="1628">
        <f>'Tab. 6B Polit społ i rozwój prz'!S144</f>
        <v>0</v>
      </c>
      <c r="R24" s="1628">
        <f>'Tab. 6B Polit społ i rozwój prz'!T144</f>
        <v>0</v>
      </c>
      <c r="S24" s="1628">
        <f>'Tab. 6B Polit społ i rozwój prz'!U144</f>
        <v>0</v>
      </c>
      <c r="T24" s="1628">
        <f>'Tab. 6B Polit społ i rozwój prz'!V144</f>
        <v>0</v>
      </c>
      <c r="U24" s="1628">
        <f>'Tab. 6B Polit społ i rozwój prz'!W144</f>
        <v>0</v>
      </c>
      <c r="V24" s="1628">
        <f t="shared" si="1"/>
        <v>4192962</v>
      </c>
      <c r="W24" s="1639" t="s">
        <v>77</v>
      </c>
      <c r="X24" s="913"/>
      <c r="Y24" s="914"/>
      <c r="Z24" s="914"/>
    </row>
    <row r="25" spans="1:26" s="918" customFormat="1" ht="24" customHeight="1" thickBot="1">
      <c r="A25" s="4724" t="s">
        <v>289</v>
      </c>
      <c r="B25" s="4725"/>
      <c r="C25" s="1627">
        <f>C28+C30+C32+C34</f>
        <v>441028</v>
      </c>
      <c r="D25" s="1627" t="e">
        <f t="shared" ref="D25:P26" si="2">D28+D30+D32+D34</f>
        <v>#REF!</v>
      </c>
      <c r="E25" s="1627" t="e">
        <f t="shared" si="2"/>
        <v>#REF!</v>
      </c>
      <c r="F25" s="1627" t="e">
        <f t="shared" si="2"/>
        <v>#REF!</v>
      </c>
      <c r="G25" s="1627">
        <f t="shared" si="2"/>
        <v>364771</v>
      </c>
      <c r="H25" s="1627">
        <f t="shared" si="2"/>
        <v>375013</v>
      </c>
      <c r="I25" s="1627">
        <f t="shared" si="2"/>
        <v>452294</v>
      </c>
      <c r="J25" s="1627">
        <f t="shared" si="2"/>
        <v>677057</v>
      </c>
      <c r="K25" s="1627">
        <f>K28+K30+K32+K34</f>
        <v>2719975</v>
      </c>
      <c r="L25" s="1627">
        <f t="shared" si="2"/>
        <v>409812</v>
      </c>
      <c r="M25" s="1627">
        <f t="shared" si="2"/>
        <v>574289</v>
      </c>
      <c r="N25" s="1627">
        <f t="shared" si="2"/>
        <v>9048546</v>
      </c>
      <c r="O25" s="1627">
        <f t="shared" si="2"/>
        <v>266706</v>
      </c>
      <c r="P25" s="1627">
        <f t="shared" si="2"/>
        <v>115385</v>
      </c>
      <c r="Q25" s="1627">
        <f t="shared" ref="Q25:U25" si="3">Q28+Q30+Q32+Q34</f>
        <v>21585</v>
      </c>
      <c r="R25" s="1627">
        <f t="shared" si="3"/>
        <v>0</v>
      </c>
      <c r="S25" s="1627">
        <f t="shared" si="3"/>
        <v>0</v>
      </c>
      <c r="T25" s="1627">
        <f t="shared" si="3"/>
        <v>0</v>
      </c>
      <c r="U25" s="1627">
        <f t="shared" si="3"/>
        <v>0</v>
      </c>
      <c r="V25" s="1627">
        <f t="shared" si="1"/>
        <v>12746486</v>
      </c>
      <c r="W25" s="1638">
        <f>N25+O25+P25+Q25+R25+S25+T25+U25</f>
        <v>9452222</v>
      </c>
      <c r="X25" s="916"/>
      <c r="Y25" s="917"/>
      <c r="Z25" s="917"/>
    </row>
    <row r="26" spans="1:26" s="918" customFormat="1" ht="24" customHeight="1" thickBot="1">
      <c r="A26" s="4726" t="s">
        <v>290</v>
      </c>
      <c r="B26" s="4727"/>
      <c r="C26" s="1628">
        <f>C29+C31+C33+C35</f>
        <v>3874</v>
      </c>
      <c r="D26" s="1628" t="e">
        <f t="shared" si="2"/>
        <v>#REF!</v>
      </c>
      <c r="E26" s="1628" t="e">
        <f t="shared" si="2"/>
        <v>#REF!</v>
      </c>
      <c r="F26" s="1628" t="e">
        <f t="shared" si="2"/>
        <v>#REF!</v>
      </c>
      <c r="G26" s="1628">
        <f t="shared" si="2"/>
        <v>480461</v>
      </c>
      <c r="H26" s="1628">
        <f t="shared" si="2"/>
        <v>496759</v>
      </c>
      <c r="I26" s="1628">
        <f t="shared" si="2"/>
        <v>344217</v>
      </c>
      <c r="J26" s="1628">
        <f t="shared" si="2"/>
        <v>364632</v>
      </c>
      <c r="K26" s="1628">
        <f t="shared" ref="K26" si="4">K29+K31+K33+K35</f>
        <v>2031718</v>
      </c>
      <c r="L26" s="1628">
        <f t="shared" si="2"/>
        <v>341775</v>
      </c>
      <c r="M26" s="1628">
        <f t="shared" si="2"/>
        <v>794181</v>
      </c>
      <c r="N26" s="1628">
        <f t="shared" si="2"/>
        <v>2858870</v>
      </c>
      <c r="O26" s="1628">
        <f t="shared" si="2"/>
        <v>5120632</v>
      </c>
      <c r="P26" s="1628">
        <f t="shared" si="2"/>
        <v>133982</v>
      </c>
      <c r="Q26" s="1628">
        <f t="shared" ref="Q26:U26" si="5">Q29+Q31+Q33+Q35</f>
        <v>229775</v>
      </c>
      <c r="R26" s="1628">
        <f t="shared" si="5"/>
        <v>0</v>
      </c>
      <c r="S26" s="1628">
        <f t="shared" si="5"/>
        <v>0</v>
      </c>
      <c r="T26" s="1628">
        <f t="shared" si="5"/>
        <v>0</v>
      </c>
      <c r="U26" s="1628">
        <f t="shared" si="5"/>
        <v>0</v>
      </c>
      <c r="V26" s="1628">
        <f t="shared" si="1"/>
        <v>11169158</v>
      </c>
      <c r="W26" s="1639" t="s">
        <v>77</v>
      </c>
      <c r="X26" s="916"/>
      <c r="Y26" s="917"/>
      <c r="Z26" s="917"/>
    </row>
    <row r="27" spans="1:26" s="918" customFormat="1" ht="15" hidden="1">
      <c r="A27" s="4734" t="s">
        <v>216</v>
      </c>
      <c r="B27" s="4735"/>
      <c r="C27" s="1630"/>
      <c r="D27" s="1630"/>
      <c r="E27" s="1630"/>
      <c r="F27" s="1630"/>
      <c r="G27" s="1630"/>
      <c r="H27" s="1630"/>
      <c r="I27" s="1630"/>
      <c r="J27" s="1630"/>
      <c r="K27" s="1630"/>
      <c r="L27" s="1630"/>
      <c r="M27" s="1630"/>
      <c r="N27" s="1630"/>
      <c r="O27" s="1630"/>
      <c r="P27" s="1630"/>
      <c r="Q27" s="1630"/>
      <c r="R27" s="1630"/>
      <c r="S27" s="1630"/>
      <c r="T27" s="1630"/>
      <c r="U27" s="1630"/>
      <c r="V27" s="1630">
        <f t="shared" si="1"/>
        <v>0</v>
      </c>
      <c r="W27" s="1640"/>
      <c r="X27" s="916"/>
      <c r="Y27" s="917"/>
      <c r="Z27" s="917"/>
    </row>
    <row r="28" spans="1:26" s="918" customFormat="1" ht="17.25" hidden="1" customHeight="1">
      <c r="A28" s="4736" t="s">
        <v>291</v>
      </c>
      <c r="B28" s="4737"/>
      <c r="C28" s="1631">
        <f>+'Tab. 6A -Drogi'!E326</f>
        <v>0</v>
      </c>
      <c r="D28" s="1631">
        <f>+'Tab. 6A -Drogi'!F326</f>
        <v>0</v>
      </c>
      <c r="E28" s="1631">
        <f>+'Tab. 6A -Drogi'!G326</f>
        <v>0</v>
      </c>
      <c r="F28" s="1631">
        <f>+'Tab. 6A -Drogi'!H326</f>
        <v>0</v>
      </c>
      <c r="G28" s="1631">
        <f>+'Tab. 6A -Drogi'!I326</f>
        <v>0</v>
      </c>
      <c r="H28" s="1631">
        <f>+'Tab. 6A -Drogi'!J326</f>
        <v>0</v>
      </c>
      <c r="I28" s="1631">
        <f>+'Tab. 6A -Drogi'!K326</f>
        <v>0</v>
      </c>
      <c r="J28" s="1631">
        <f>+'Tab. 6A -Drogi'!L326</f>
        <v>0</v>
      </c>
      <c r="K28" s="1631">
        <f>+'Tab. 6A -Drogi'!M326</f>
        <v>0</v>
      </c>
      <c r="L28" s="1631">
        <f>+'Tab. 6A -Drogi'!N326</f>
        <v>0</v>
      </c>
      <c r="M28" s="1631">
        <f>+'Tab. 6A -Drogi'!O326</f>
        <v>0</v>
      </c>
      <c r="N28" s="1631">
        <f>+'Tab. 6A -Drogi'!P326</f>
        <v>9048546</v>
      </c>
      <c r="O28" s="1631">
        <f>+'Tab. 6A -Drogi'!Q326</f>
        <v>266706</v>
      </c>
      <c r="P28" s="1631">
        <f>+'Tab. 6A -Drogi'!R326</f>
        <v>115385</v>
      </c>
      <c r="Q28" s="1631">
        <f>+'Tab. 6A -Drogi'!S326</f>
        <v>21585</v>
      </c>
      <c r="R28" s="1631">
        <f>+'Tab. 6A -Drogi'!T326</f>
        <v>0</v>
      </c>
      <c r="S28" s="1631">
        <f>+'Tab. 6A -Drogi'!U326</f>
        <v>0</v>
      </c>
      <c r="T28" s="1631">
        <f>+'Tab. 6A -Drogi'!V326</f>
        <v>0</v>
      </c>
      <c r="U28" s="1631">
        <f>+'Tab. 6A -Drogi'!W326</f>
        <v>0</v>
      </c>
      <c r="V28" s="1631">
        <f t="shared" si="1"/>
        <v>9452222</v>
      </c>
      <c r="W28" s="1641">
        <f>+L28+M28+N28+O28+P28</f>
        <v>9430637</v>
      </c>
      <c r="X28" s="916"/>
      <c r="Y28" s="917"/>
      <c r="Z28" s="917"/>
    </row>
    <row r="29" spans="1:26" s="918" customFormat="1" ht="17.25" hidden="1" customHeight="1">
      <c r="A29" s="4738" t="s">
        <v>292</v>
      </c>
      <c r="B29" s="4739"/>
      <c r="C29" s="1632">
        <f>+'Tab. 6A -Drogi'!E331</f>
        <v>0</v>
      </c>
      <c r="D29" s="1632">
        <f>+'Tab. 6A -Drogi'!F331</f>
        <v>0</v>
      </c>
      <c r="E29" s="1632">
        <f>+'Tab. 6A -Drogi'!G331</f>
        <v>0</v>
      </c>
      <c r="F29" s="1632">
        <f>+'Tab. 6A -Drogi'!H331</f>
        <v>0</v>
      </c>
      <c r="G29" s="1632">
        <f>+'Tab. 6A -Drogi'!I331</f>
        <v>0</v>
      </c>
      <c r="H29" s="1632">
        <f>+'Tab. 6A -Drogi'!J331</f>
        <v>0</v>
      </c>
      <c r="I29" s="1632">
        <f>+'Tab. 6A -Drogi'!K331</f>
        <v>0</v>
      </c>
      <c r="J29" s="1632">
        <f>+'Tab. 6A -Drogi'!L331</f>
        <v>0</v>
      </c>
      <c r="K29" s="1632">
        <f>+'Tab. 6A -Drogi'!M331</f>
        <v>0</v>
      </c>
      <c r="L29" s="1632">
        <f>+'Tab. 6A -Drogi'!N331</f>
        <v>0</v>
      </c>
      <c r="M29" s="1632">
        <f>+'Tab. 6A -Drogi'!O331</f>
        <v>0</v>
      </c>
      <c r="N29" s="1632">
        <f>+'Tab. 6A -Drogi'!P331</f>
        <v>2550000</v>
      </c>
      <c r="O29" s="1632">
        <f>+'Tab. 6A -Drogi'!Q331</f>
        <v>5120632</v>
      </c>
      <c r="P29" s="1632">
        <f>+'Tab. 6A -Drogi'!R331</f>
        <v>133982</v>
      </c>
      <c r="Q29" s="1632">
        <f>+'Tab. 6A -Drogi'!S331</f>
        <v>229775</v>
      </c>
      <c r="R29" s="1632">
        <f>+'Tab. 6A -Drogi'!T331</f>
        <v>0</v>
      </c>
      <c r="S29" s="1632">
        <f>+'Tab. 6A -Drogi'!U331</f>
        <v>0</v>
      </c>
      <c r="T29" s="1632">
        <f>+'Tab. 6A -Drogi'!V331</f>
        <v>0</v>
      </c>
      <c r="U29" s="1632">
        <f>+'Tab. 6A -Drogi'!W331</f>
        <v>0</v>
      </c>
      <c r="V29" s="1632">
        <f t="shared" si="1"/>
        <v>8034389</v>
      </c>
      <c r="W29" s="1642" t="s">
        <v>77</v>
      </c>
      <c r="X29" s="916"/>
      <c r="Y29" s="917"/>
      <c r="Z29" s="917"/>
    </row>
    <row r="30" spans="1:26" s="918" customFormat="1" ht="17.25" hidden="1" customHeight="1">
      <c r="A30" s="4740" t="s">
        <v>293</v>
      </c>
      <c r="B30" s="4741"/>
      <c r="C30" s="1633">
        <f>'Tab. 6E - Administracja'!E94</f>
        <v>441028</v>
      </c>
      <c r="D30" s="1633">
        <f>'Tab. 6E - Administracja'!F94</f>
        <v>0</v>
      </c>
      <c r="E30" s="1633">
        <f>'Tab. 6E - Administracja'!G94</f>
        <v>0</v>
      </c>
      <c r="F30" s="1633">
        <f>'Tab. 6E - Administracja'!H94</f>
        <v>0</v>
      </c>
      <c r="G30" s="1633">
        <f>'Tab. 6E - Administracja'!I94</f>
        <v>364771</v>
      </c>
      <c r="H30" s="1633">
        <f>'Tab. 6E - Administracja'!J94</f>
        <v>375013</v>
      </c>
      <c r="I30" s="1633">
        <f>'Tab. 6E - Administracja'!K94</f>
        <v>348792</v>
      </c>
      <c r="J30" s="1633">
        <f>'Tab. 6E - Administracja'!L94</f>
        <v>377448</v>
      </c>
      <c r="K30" s="1633">
        <f>'Tab. 6E - Administracja'!M94</f>
        <v>2126586</v>
      </c>
      <c r="L30" s="1633">
        <f>'Tab. 6E - Administracja'!N94</f>
        <v>219534</v>
      </c>
      <c r="M30" s="1633">
        <f>'Tab. 6E - Administracja'!O94</f>
        <v>201566</v>
      </c>
      <c r="N30" s="1633">
        <f>'Tab. 6E - Administracja'!P94</f>
        <v>0</v>
      </c>
      <c r="O30" s="1633">
        <f>'Tab. 6E - Administracja'!Q94</f>
        <v>0</v>
      </c>
      <c r="P30" s="1633">
        <f>'Tab. 6E - Administracja'!R94</f>
        <v>0</v>
      </c>
      <c r="Q30" s="1633">
        <f>'Tab. 6E - Administracja'!S94</f>
        <v>0</v>
      </c>
      <c r="R30" s="1633">
        <f>'Tab. 6E - Administracja'!T94</f>
        <v>0</v>
      </c>
      <c r="S30" s="1633">
        <f>'Tab. 6E - Administracja'!U94</f>
        <v>0</v>
      </c>
      <c r="T30" s="1633">
        <f>'Tab. 6E - Administracja'!V94</f>
        <v>0</v>
      </c>
      <c r="U30" s="1633">
        <f>'Tab. 6E - Administracja'!W94</f>
        <v>0</v>
      </c>
      <c r="V30" s="1633">
        <f t="shared" si="1"/>
        <v>2328152</v>
      </c>
      <c r="W30" s="1641">
        <f>+L30+M30+N30+O30+P30</f>
        <v>421100</v>
      </c>
      <c r="X30" s="916">
        <f>'Tab. 6E - Administracja'!O94</f>
        <v>201566</v>
      </c>
      <c r="Y30" s="917"/>
      <c r="Z30" s="917"/>
    </row>
    <row r="31" spans="1:26" s="918" customFormat="1" ht="17.25" hidden="1" customHeight="1">
      <c r="A31" s="4738" t="s">
        <v>294</v>
      </c>
      <c r="B31" s="4739"/>
      <c r="C31" s="1632">
        <f>'Tab. 6E - Administracja'!E99</f>
        <v>3874</v>
      </c>
      <c r="D31" s="1632">
        <f>'Tab. 6E - Administracja'!F99</f>
        <v>0</v>
      </c>
      <c r="E31" s="1632">
        <f>'Tab. 6E - Administracja'!G99</f>
        <v>0</v>
      </c>
      <c r="F31" s="1632">
        <f>'Tab. 6E - Administracja'!H99</f>
        <v>0</v>
      </c>
      <c r="G31" s="1632">
        <f>'Tab. 6E - Administracja'!I99</f>
        <v>480461</v>
      </c>
      <c r="H31" s="1632">
        <f>'Tab. 6E - Administracja'!J99</f>
        <v>496759</v>
      </c>
      <c r="I31" s="1632">
        <f>'Tab. 6E - Administracja'!K99</f>
        <v>344217</v>
      </c>
      <c r="J31" s="1632">
        <f>'Tab. 6E - Administracja'!L99</f>
        <v>289417</v>
      </c>
      <c r="K31" s="1632">
        <f>'Tab. 6E - Administracja'!M99</f>
        <v>1892106</v>
      </c>
      <c r="L31" s="1632">
        <f>'Tab. 6E - Administracja'!N99</f>
        <v>277378</v>
      </c>
      <c r="M31" s="1632">
        <f>'Tab. 6E - Administracja'!O99</f>
        <v>342136</v>
      </c>
      <c r="N31" s="1632">
        <f>'Tab. 6E - Administracja'!P99</f>
        <v>93910</v>
      </c>
      <c r="O31" s="1632">
        <f>'Tab. 6E - Administracja'!Q99</f>
        <v>0</v>
      </c>
      <c r="P31" s="1632">
        <f>'Tab. 6E - Administracja'!R99</f>
        <v>0</v>
      </c>
      <c r="Q31" s="1632">
        <f>'Tab. 6E - Administracja'!S99</f>
        <v>0</v>
      </c>
      <c r="R31" s="1632">
        <f>'Tab. 6E - Administracja'!T99</f>
        <v>0</v>
      </c>
      <c r="S31" s="1632">
        <f>'Tab. 6E - Administracja'!U99</f>
        <v>0</v>
      </c>
      <c r="T31" s="1632">
        <f>'Tab. 6E - Administracja'!V99</f>
        <v>0</v>
      </c>
      <c r="U31" s="1632">
        <f>'Tab. 6E - Administracja'!W99</f>
        <v>0</v>
      </c>
      <c r="V31" s="1632">
        <f t="shared" si="1"/>
        <v>2328152</v>
      </c>
      <c r="W31" s="1642" t="s">
        <v>77</v>
      </c>
      <c r="X31" s="916"/>
      <c r="Y31" s="917"/>
      <c r="Z31" s="917"/>
    </row>
    <row r="32" spans="1:26" s="918" customFormat="1" ht="17.25" hidden="1" customHeight="1">
      <c r="A32" s="4740" t="s">
        <v>295</v>
      </c>
      <c r="B32" s="4741"/>
      <c r="C32" s="1633">
        <f>'Tab.6I - Planow. przestrz.'!E21</f>
        <v>0</v>
      </c>
      <c r="D32" s="1633">
        <f>'Tab.6I - Planow. przestrz.'!F21</f>
        <v>0</v>
      </c>
      <c r="E32" s="1633">
        <f>'Tab.6I - Planow. przestrz.'!G21</f>
        <v>0</v>
      </c>
      <c r="F32" s="1633">
        <f>'Tab.6I - Planow. przestrz.'!H21</f>
        <v>0</v>
      </c>
      <c r="G32" s="1633">
        <f>'Tab.6I - Planow. przestrz.'!I21</f>
        <v>0</v>
      </c>
      <c r="H32" s="1633">
        <f>'Tab.6I - Planow. przestrz.'!J21</f>
        <v>0</v>
      </c>
      <c r="I32" s="1633">
        <f>'Tab.6I - Planow. przestrz.'!K21</f>
        <v>0</v>
      </c>
      <c r="J32" s="1633">
        <f>'Tab.6I - Planow. przestrz.'!L21</f>
        <v>0</v>
      </c>
      <c r="K32" s="1633">
        <f>'Tab.6I - Planow. przestrz.'!M21</f>
        <v>0</v>
      </c>
      <c r="L32" s="1633">
        <f>'Tab.6I - Planow. przestrz.'!N21</f>
        <v>0</v>
      </c>
      <c r="M32" s="1633">
        <f>'Tab.6I - Planow. przestrz.'!O21</f>
        <v>0</v>
      </c>
      <c r="N32" s="1633">
        <f>'Tab.6I - Planow. przestrz.'!P21</f>
        <v>0</v>
      </c>
      <c r="O32" s="1633">
        <f>'Tab.6I - Planow. przestrz.'!Q21</f>
        <v>0</v>
      </c>
      <c r="P32" s="1633">
        <f>'Tab.6I - Planow. przestrz.'!R21</f>
        <v>0</v>
      </c>
      <c r="Q32" s="1633">
        <f>'Tab.6I - Planow. przestrz.'!S21</f>
        <v>0</v>
      </c>
      <c r="R32" s="1633">
        <f>'Tab.6I - Planow. przestrz.'!T21</f>
        <v>0</v>
      </c>
      <c r="S32" s="1633">
        <f>'Tab.6I - Planow. przestrz.'!U21</f>
        <v>0</v>
      </c>
      <c r="T32" s="1633">
        <f>'Tab.6I - Planow. przestrz.'!V21</f>
        <v>0</v>
      </c>
      <c r="U32" s="1633">
        <f>'Tab.6I - Planow. przestrz.'!W21</f>
        <v>0</v>
      </c>
      <c r="V32" s="1633">
        <f t="shared" si="1"/>
        <v>0</v>
      </c>
      <c r="W32" s="1641">
        <f>+L32+M32+N32+O32+P32</f>
        <v>0</v>
      </c>
      <c r="X32" s="916"/>
      <c r="Y32" s="917"/>
      <c r="Z32" s="917"/>
    </row>
    <row r="33" spans="1:26" s="918" customFormat="1" ht="17.25" hidden="1" customHeight="1">
      <c r="A33" s="4738" t="s">
        <v>296</v>
      </c>
      <c r="B33" s="4739"/>
      <c r="C33" s="1632">
        <f>'Tab.6I - Planow. przestrz.'!E26</f>
        <v>0</v>
      </c>
      <c r="D33" s="1632">
        <f>'[4]Tab.6I - Planow. przestrz.'!F26</f>
        <v>0</v>
      </c>
      <c r="E33" s="1632">
        <f>'[4]Tab.6I - Planow. przestrz.'!G26</f>
        <v>0</v>
      </c>
      <c r="F33" s="1632">
        <f>'[4]Tab.6I - Planow. przestrz.'!H26</f>
        <v>0</v>
      </c>
      <c r="G33" s="1632">
        <f>'Tab.6I - Planow. przestrz.'!I26</f>
        <v>0</v>
      </c>
      <c r="H33" s="1632">
        <f>'Tab.6I - Planow. przestrz.'!J26</f>
        <v>0</v>
      </c>
      <c r="I33" s="1632">
        <f>'Tab.6I - Planow. przestrz.'!K26</f>
        <v>0</v>
      </c>
      <c r="J33" s="1632">
        <f>'Tab.6I - Planow. przestrz.'!L26</f>
        <v>0</v>
      </c>
      <c r="K33" s="1632">
        <f>'Tab.6I - Planow. przestrz.'!M26</f>
        <v>0</v>
      </c>
      <c r="L33" s="1632">
        <f>'Tab.6I - Planow. przestrz.'!N26</f>
        <v>0</v>
      </c>
      <c r="M33" s="1632">
        <f>'Tab.6I - Planow. przestrz.'!O26</f>
        <v>0</v>
      </c>
      <c r="N33" s="1632">
        <f>'Tab.6I - Planow. przestrz.'!P26</f>
        <v>0</v>
      </c>
      <c r="O33" s="1632">
        <f>'Tab.6I - Planow. przestrz.'!Q26</f>
        <v>0</v>
      </c>
      <c r="P33" s="1632">
        <f>'Tab.6I - Planow. przestrz.'!R26</f>
        <v>0</v>
      </c>
      <c r="Q33" s="1632">
        <f>'Tab.6I - Planow. przestrz.'!S26</f>
        <v>0</v>
      </c>
      <c r="R33" s="1632">
        <f>'Tab.6I - Planow. przestrz.'!T26</f>
        <v>0</v>
      </c>
      <c r="S33" s="1632">
        <f>'Tab.6I - Planow. przestrz.'!U26</f>
        <v>0</v>
      </c>
      <c r="T33" s="1632">
        <f>'Tab.6I - Planow. przestrz.'!V26</f>
        <v>0</v>
      </c>
      <c r="U33" s="1632">
        <f>'Tab.6I - Planow. przestrz.'!W26</f>
        <v>0</v>
      </c>
      <c r="V33" s="1632">
        <f t="shared" si="1"/>
        <v>0</v>
      </c>
      <c r="W33" s="1642" t="s">
        <v>77</v>
      </c>
      <c r="X33" s="916"/>
      <c r="Y33" s="917"/>
      <c r="Z33" s="917"/>
    </row>
    <row r="34" spans="1:26" s="918" customFormat="1" ht="17.25" hidden="1" customHeight="1">
      <c r="A34" s="4740" t="s">
        <v>297</v>
      </c>
      <c r="B34" s="4741"/>
      <c r="C34" s="1633">
        <f>'Tab. 6H - Kultura fiz. i turyst'!E22+'Tab. 6H - Kultura fiz. i turyst'!E40+'Tab. 6H - Kultura fiz. i turyst'!E31</f>
        <v>0</v>
      </c>
      <c r="D34" s="1633" t="e">
        <f>'Tab. 6H - Kultura fiz. i turyst'!F22+'Tab. 6H - Kultura fiz. i turyst'!F40+'Tab. 6G - Roln i ochrona środ.'!#REF!</f>
        <v>#REF!</v>
      </c>
      <c r="E34" s="1633" t="e">
        <f>'Tab. 6H - Kultura fiz. i turyst'!G22+'Tab. 6H - Kultura fiz. i turyst'!G40+'Tab. 6G - Roln i ochrona środ.'!#REF!</f>
        <v>#REF!</v>
      </c>
      <c r="F34" s="1633" t="e">
        <f>'Tab. 6H - Kultura fiz. i turyst'!H22+'Tab. 6H - Kultura fiz. i turyst'!H40+'Tab. 6G - Roln i ochrona środ.'!#REF!</f>
        <v>#REF!</v>
      </c>
      <c r="G34" s="1633">
        <f>'Tab. 6H - Kultura fiz. i turyst'!I22+'Tab. 6H - Kultura fiz. i turyst'!I40+'Tab. 6H - Kultura fiz. i turyst'!I31</f>
        <v>0</v>
      </c>
      <c r="H34" s="1633">
        <f>'Tab. 6H - Kultura fiz. i turyst'!J22+'Tab. 6H - Kultura fiz. i turyst'!J40+'Tab. 6H - Kultura fiz. i turyst'!J31</f>
        <v>0</v>
      </c>
      <c r="I34" s="1633">
        <f>'Tab. 6H - Kultura fiz. i turyst'!K22+'Tab. 6H - Kultura fiz. i turyst'!K40+'Tab. 6H - Kultura fiz. i turyst'!K31</f>
        <v>103502</v>
      </c>
      <c r="J34" s="1633">
        <f>'Tab. 6H - Kultura fiz. i turyst'!L22+'Tab. 6H - Kultura fiz. i turyst'!L40+'Tab. 6H - Kultura fiz. i turyst'!L31</f>
        <v>299609</v>
      </c>
      <c r="K34" s="1633">
        <f>'Tab. 6H - Kultura fiz. i turyst'!M22+'Tab. 6H - Kultura fiz. i turyst'!M40+'Tab. 6H - Kultura fiz. i turyst'!M31</f>
        <v>593389</v>
      </c>
      <c r="L34" s="1633">
        <f>'Tab. 6H - Kultura fiz. i turyst'!N22+'Tab. 6H - Kultura fiz. i turyst'!N40+'Tab. 6H - Kultura fiz. i turyst'!N31</f>
        <v>190278</v>
      </c>
      <c r="M34" s="1633">
        <f>'Tab. 6H - Kultura fiz. i turyst'!O22+'Tab. 6H - Kultura fiz. i turyst'!O40+'Tab. 6H - Kultura fiz. i turyst'!O31</f>
        <v>372723</v>
      </c>
      <c r="N34" s="1633">
        <f>'Tab. 6H - Kultura fiz. i turyst'!P22+'Tab. 6H - Kultura fiz. i turyst'!P40+'Tab. 6H - Kultura fiz. i turyst'!P31</f>
        <v>0</v>
      </c>
      <c r="O34" s="1633">
        <f>'Tab. 6H - Kultura fiz. i turyst'!Q22+'Tab. 6H - Kultura fiz. i turyst'!Q40+'Tab. 6H - Kultura fiz. i turyst'!Q31</f>
        <v>0</v>
      </c>
      <c r="P34" s="1633">
        <f>'Tab. 6H - Kultura fiz. i turyst'!R22+'Tab. 6H - Kultura fiz. i turyst'!R40+'Tab. 6H - Kultura fiz. i turyst'!R31</f>
        <v>0</v>
      </c>
      <c r="Q34" s="1633">
        <f>'Tab. 6H - Kultura fiz. i turyst'!S22+'Tab. 6H - Kultura fiz. i turyst'!S40+'Tab. 6H - Kultura fiz. i turyst'!S31</f>
        <v>0</v>
      </c>
      <c r="R34" s="1633">
        <f>'Tab. 6H - Kultura fiz. i turyst'!T22+'Tab. 6H - Kultura fiz. i turyst'!T40+'Tab. 6H - Kultura fiz. i turyst'!T31</f>
        <v>0</v>
      </c>
      <c r="S34" s="1633">
        <f>'Tab. 6H - Kultura fiz. i turyst'!U22+'Tab. 6H - Kultura fiz. i turyst'!U40+'Tab. 6H - Kultura fiz. i turyst'!U31</f>
        <v>0</v>
      </c>
      <c r="T34" s="1633">
        <f>'Tab. 6H - Kultura fiz. i turyst'!V22+'Tab. 6H - Kultura fiz. i turyst'!V40+'Tab. 6H - Kultura fiz. i turyst'!V31</f>
        <v>0</v>
      </c>
      <c r="U34" s="1633">
        <f>'Tab. 6H - Kultura fiz. i turyst'!W22+'Tab. 6H - Kultura fiz. i turyst'!W40+'Tab. 6H - Kultura fiz. i turyst'!W31</f>
        <v>0</v>
      </c>
      <c r="V34" s="1633">
        <f t="shared" si="1"/>
        <v>966112</v>
      </c>
      <c r="W34" s="1641">
        <f>+L34+M34+N34+O34+P34</f>
        <v>563001</v>
      </c>
      <c r="X34" s="916"/>
      <c r="Y34" s="917"/>
      <c r="Z34" s="917"/>
    </row>
    <row r="35" spans="1:26" s="918" customFormat="1" ht="17.25" hidden="1" customHeight="1" thickBot="1">
      <c r="A35" s="4738" t="s">
        <v>298</v>
      </c>
      <c r="B35" s="4739"/>
      <c r="C35" s="1632">
        <f>'Tab. 6H - Kultura fiz. i turyst'!E27+'Tab. 6H - Kultura fiz. i turyst'!E45+'Tab. 6H - Kultura fiz. i turyst'!E36</f>
        <v>0</v>
      </c>
      <c r="D35" s="1632" t="e">
        <f>'Tab. 6H - Kultura fiz. i turyst'!F27+'Tab. 6H - Kultura fiz. i turyst'!F45+'Tab. 6G - Roln i ochrona środ.'!#REF!</f>
        <v>#REF!</v>
      </c>
      <c r="E35" s="1632" t="e">
        <f>'Tab. 6H - Kultura fiz. i turyst'!G27+'Tab. 6H - Kultura fiz. i turyst'!G45+'Tab. 6G - Roln i ochrona środ.'!#REF!</f>
        <v>#REF!</v>
      </c>
      <c r="F35" s="1632" t="e">
        <f>'Tab. 6H - Kultura fiz. i turyst'!H27+'Tab. 6H - Kultura fiz. i turyst'!H45+'Tab. 6G - Roln i ochrona środ.'!#REF!</f>
        <v>#REF!</v>
      </c>
      <c r="G35" s="1632">
        <f>'Tab. 6H - Kultura fiz. i turyst'!I27+'Tab. 6H - Kultura fiz. i turyst'!I45+'Tab. 6H - Kultura fiz. i turyst'!I36</f>
        <v>0</v>
      </c>
      <c r="H35" s="1632">
        <f>'Tab. 6H - Kultura fiz. i turyst'!J27+'Tab. 6H - Kultura fiz. i turyst'!J45+'Tab. 6H - Kultura fiz. i turyst'!J36</f>
        <v>0</v>
      </c>
      <c r="I35" s="1632">
        <f>'Tab. 6H - Kultura fiz. i turyst'!K27+'Tab. 6H - Kultura fiz. i turyst'!K45+'Tab. 6H - Kultura fiz. i turyst'!K36</f>
        <v>0</v>
      </c>
      <c r="J35" s="1632">
        <f>'Tab. 6H - Kultura fiz. i turyst'!L27+'Tab. 6H - Kultura fiz. i turyst'!L45+'Tab. 6H - Kultura fiz. i turyst'!L36</f>
        <v>75215</v>
      </c>
      <c r="K35" s="1632">
        <f>'Tab. 6H - Kultura fiz. i turyst'!M27+'Tab. 6H - Kultura fiz. i turyst'!M45+'Tab. 6H - Kultura fiz. i turyst'!M36</f>
        <v>139612</v>
      </c>
      <c r="L35" s="1632">
        <f>'Tab. 6H - Kultura fiz. i turyst'!N27+'Tab. 6H - Kultura fiz. i turyst'!N45+'Tab. 6H - Kultura fiz. i turyst'!N36</f>
        <v>64397</v>
      </c>
      <c r="M35" s="1632">
        <f>'Tab. 6H - Kultura fiz. i turyst'!O27+'Tab. 6H - Kultura fiz. i turyst'!O45+'Tab. 6H - Kultura fiz. i turyst'!O36</f>
        <v>452045</v>
      </c>
      <c r="N35" s="1632">
        <f>'Tab. 6H - Kultura fiz. i turyst'!P27+'Tab. 6H - Kultura fiz. i turyst'!P45+'Tab. 6H - Kultura fiz. i turyst'!P36</f>
        <v>214960</v>
      </c>
      <c r="O35" s="1632">
        <f>'Tab. 6H - Kultura fiz. i turyst'!Q27+'Tab. 6H - Kultura fiz. i turyst'!Q45+'Tab. 6H - Kultura fiz. i turyst'!Q36</f>
        <v>0</v>
      </c>
      <c r="P35" s="1632">
        <f>'Tab. 6H - Kultura fiz. i turyst'!R27+'Tab. 6H - Kultura fiz. i turyst'!R45+'Tab. 6H - Kultura fiz. i turyst'!R36</f>
        <v>0</v>
      </c>
      <c r="Q35" s="1632">
        <f>'Tab. 6H - Kultura fiz. i turyst'!S27+'Tab. 6H - Kultura fiz. i turyst'!S45+'Tab. 6H - Kultura fiz. i turyst'!S36</f>
        <v>0</v>
      </c>
      <c r="R35" s="1632">
        <f>'Tab. 6H - Kultura fiz. i turyst'!T27+'Tab. 6H - Kultura fiz. i turyst'!T45+'Tab. 6H - Kultura fiz. i turyst'!T36</f>
        <v>0</v>
      </c>
      <c r="S35" s="1632">
        <f>'Tab. 6H - Kultura fiz. i turyst'!U27+'Tab. 6H - Kultura fiz. i turyst'!U45+'Tab. 6H - Kultura fiz. i turyst'!U36</f>
        <v>0</v>
      </c>
      <c r="T35" s="1632">
        <f>'Tab. 6H - Kultura fiz. i turyst'!V27+'Tab. 6H - Kultura fiz. i turyst'!V45+'Tab. 6H - Kultura fiz. i turyst'!V36</f>
        <v>0</v>
      </c>
      <c r="U35" s="1632">
        <f>'Tab. 6H - Kultura fiz. i turyst'!W27+'Tab. 6H - Kultura fiz. i turyst'!W45+'Tab. 6H - Kultura fiz. i turyst'!W36</f>
        <v>0</v>
      </c>
      <c r="V35" s="1632">
        <f t="shared" si="1"/>
        <v>806617</v>
      </c>
      <c r="W35" s="1642" t="s">
        <v>77</v>
      </c>
      <c r="X35" s="916"/>
      <c r="Y35" s="917"/>
      <c r="Z35" s="917"/>
    </row>
    <row r="36" spans="1:26" s="915" customFormat="1" ht="48" customHeight="1" thickBot="1">
      <c r="A36" s="4732" t="s">
        <v>507</v>
      </c>
      <c r="B36" s="4733"/>
      <c r="C36" s="1634">
        <f>+'Tab. 6D - Oświata'!E22+'Tab. 6D - Oświata'!E33+'Tab. 6D - Oświata'!E44</f>
        <v>0</v>
      </c>
      <c r="D36" s="1634">
        <f>+'Tab. 6D - Oświata'!F22+'Tab. 6D - Oświata'!F33+'Tab. 6D - Oświata'!F44</f>
        <v>0</v>
      </c>
      <c r="E36" s="1634">
        <f>+'Tab. 6D - Oświata'!G22+'Tab. 6D - Oświata'!G33+'Tab. 6D - Oświata'!G44</f>
        <v>0</v>
      </c>
      <c r="F36" s="1634">
        <f>+'Tab. 6D - Oświata'!H22+'Tab. 6D - Oświata'!H33+'Tab. 6D - Oświata'!H44</f>
        <v>0</v>
      </c>
      <c r="G36" s="1634">
        <f>+'Tab. 6D - Oświata'!I22+'Tab. 6D - Oświata'!I33+'Tab. 6D - Oświata'!I44</f>
        <v>0</v>
      </c>
      <c r="H36" s="1634">
        <f>+'Tab. 6D - Oświata'!J22+'Tab. 6D - Oświata'!J33+'Tab. 6D - Oświata'!J44</f>
        <v>0</v>
      </c>
      <c r="I36" s="1634">
        <f>+'Tab. 6D - Oświata'!K22+'Tab. 6D - Oświata'!K33+'Tab. 6D - Oświata'!K44</f>
        <v>0</v>
      </c>
      <c r="J36" s="1634">
        <f>+'Tab. 6D - Oświata'!L22+'Tab. 6D - Oświata'!L33+'Tab. 6D - Oświata'!L44</f>
        <v>147942</v>
      </c>
      <c r="K36" s="1634">
        <f>+'Tab. 6D - Oświata'!M22+'Tab. 6D - Oświata'!M33+'Tab. 6D - Oświata'!M44+'Tab. 6G - Roln i ochrona środ.'!M133</f>
        <v>323399</v>
      </c>
      <c r="L36" s="1634">
        <f>+'Tab. 6D - Oświata'!N22+'Tab. 6D - Oświata'!N33+'Tab. 6D - Oświata'!N44+'Tab. 6G - Roln i ochrona środ.'!N133</f>
        <v>175457</v>
      </c>
      <c r="M36" s="1634">
        <f>+'Tab. 6D - Oświata'!O22+'Tab. 6D - Oświata'!O33+'Tab. 6D - Oświata'!O44+'Tab. 6G - Roln i ochrona środ.'!O133</f>
        <v>182265</v>
      </c>
      <c r="N36" s="1634">
        <f>+'Tab. 6D - Oświata'!P22+'Tab. 6D - Oświata'!P33+'Tab. 6D - Oświata'!P44+'Tab. 6G - Roln i ochrona środ.'!P133</f>
        <v>149196</v>
      </c>
      <c r="O36" s="1634">
        <f>+'Tab. 6D - Oświata'!Q22+'Tab. 6D - Oświata'!Q33+'Tab. 6D - Oświata'!Q44+'Tab. 6G - Roln i ochrona środ.'!Q133</f>
        <v>145590</v>
      </c>
      <c r="P36" s="1634">
        <f>+'Tab. 6D - Oświata'!R22+'Tab. 6D - Oświata'!R33+'Tab. 6D - Oświata'!R44+'Tab. 6G - Roln i ochrona środ.'!R133</f>
        <v>0</v>
      </c>
      <c r="Q36" s="1634">
        <f>+'Tab. 6D - Oświata'!S22+'Tab. 6D - Oświata'!S33+'Tab. 6D - Oświata'!S44+'Tab. 6G - Roln i ochrona środ.'!S133</f>
        <v>0</v>
      </c>
      <c r="R36" s="1634">
        <f>+'Tab. 6D - Oświata'!T22+'Tab. 6D - Oświata'!T33+'Tab. 6D - Oświata'!T44+'Tab. 6G - Roln i ochrona środ.'!T133</f>
        <v>0</v>
      </c>
      <c r="S36" s="1634">
        <f>+'Tab. 6D - Oświata'!U22+'Tab. 6D - Oświata'!U33+'Tab. 6D - Oświata'!U44+'Tab. 6G - Roln i ochrona środ.'!U133</f>
        <v>0</v>
      </c>
      <c r="T36" s="1634">
        <f>+'Tab. 6D - Oświata'!V22+'Tab. 6D - Oświata'!V33+'Tab. 6D - Oświata'!V44+'Tab. 6G - Roln i ochrona środ.'!V133</f>
        <v>0</v>
      </c>
      <c r="U36" s="1634">
        <f>+'Tab. 6D - Oświata'!W22+'Tab. 6D - Oświata'!W33+'Tab. 6D - Oświata'!W44+'Tab. 6G - Roln i ochrona środ.'!W133</f>
        <v>0</v>
      </c>
      <c r="V36" s="1634">
        <f t="shared" si="1"/>
        <v>800450</v>
      </c>
      <c r="W36" s="1638">
        <f>N36+O36+P36+Q36+R36+S36+T36+U36</f>
        <v>294786</v>
      </c>
      <c r="X36" s="913"/>
      <c r="Y36" s="914"/>
      <c r="Z36" s="914"/>
    </row>
    <row r="37" spans="1:26" s="915" customFormat="1" ht="48" customHeight="1" thickBot="1">
      <c r="A37" s="4726" t="s">
        <v>510</v>
      </c>
      <c r="B37" s="4727"/>
      <c r="C37" s="1628">
        <f>+'Tab. 6D - Oświata'!E27+'Tab. 6D - Oświata'!E38+'Tab. 6D - Oświata'!E47</f>
        <v>0</v>
      </c>
      <c r="D37" s="1628">
        <f>+'Tab. 6D - Oświata'!F27+'Tab. 6D - Oświata'!F38+'Tab. 6D - Oświata'!F47</f>
        <v>0</v>
      </c>
      <c r="E37" s="1628">
        <f>+'Tab. 6D - Oświata'!G27+'Tab. 6D - Oświata'!G38+'Tab. 6D - Oświata'!G47</f>
        <v>0</v>
      </c>
      <c r="F37" s="1628">
        <f>+'Tab. 6D - Oświata'!H27+'Tab. 6D - Oświata'!H38+'Tab. 6D - Oświata'!H47</f>
        <v>0</v>
      </c>
      <c r="G37" s="1628">
        <f>+'Tab. 6D - Oświata'!I27+'Tab. 6D - Oświata'!I38+'Tab. 6D - Oświata'!I47</f>
        <v>0</v>
      </c>
      <c r="H37" s="1628">
        <f>+'Tab. 6D - Oświata'!J27+'Tab. 6D - Oświata'!J38+'Tab. 6D - Oświata'!J47</f>
        <v>0</v>
      </c>
      <c r="I37" s="1628">
        <f>+'Tab. 6D - Oświata'!K27+'Tab. 6D - Oświata'!K38+'Tab. 6D - Oświata'!K47</f>
        <v>0</v>
      </c>
      <c r="J37" s="1628">
        <f>+'Tab. 6D - Oświata'!L27+'Tab. 6D - Oświata'!L38+'Tab. 6D - Oświata'!L47+'Tab. 6G - Roln i ochrona środ.'!L136</f>
        <v>107149</v>
      </c>
      <c r="K37" s="1628">
        <f>+'Tab. 6D - Oświata'!M27+'Tab. 6D - Oświata'!M38+'Tab. 6D - Oświata'!M47+'Tab. 6G - Roln i ochrona środ.'!M136</f>
        <v>183011</v>
      </c>
      <c r="L37" s="1628">
        <f>+'Tab. 6D - Oświata'!N27+'Tab. 6D - Oświata'!N38+'Tab. 6D - Oświata'!N47+'Tab. 6G - Roln i ochrona środ.'!N136</f>
        <v>75862</v>
      </c>
      <c r="M37" s="1628">
        <f>+'Tab. 6D - Oświata'!O27+'Tab. 6D - Oświata'!O38+'Tab. 6D - Oświata'!O47+'Tab. 6G - Roln i ochrona środ.'!O136</f>
        <v>91955</v>
      </c>
      <c r="N37" s="1628">
        <f>+'Tab. 6D - Oświata'!P27+'Tab. 6D - Oświata'!P38+'Tab. 6D - Oświata'!P47+'Tab. 6G - Roln i ochrona środ.'!P136</f>
        <v>77201</v>
      </c>
      <c r="O37" s="1628">
        <f>+'Tab. 6D - Oświata'!Q27+'Tab. 6D - Oświata'!Q38+'Tab. 6D - Oświata'!Q47+'Tab. 6G - Roln i ochrona środ.'!Q136</f>
        <v>75707</v>
      </c>
      <c r="P37" s="1628">
        <f>+'Tab. 6D - Oświata'!R27+'Tab. 6D - Oświata'!R38+'Tab. 6D - Oświata'!R47+'Tab. 6G - Roln i ochrona środ.'!R136</f>
        <v>23196</v>
      </c>
      <c r="Q37" s="1628">
        <f>+'Tab. 6D - Oświata'!S27+'Tab. 6D - Oświata'!S38+'Tab. 6D - Oświata'!S47+'Tab. 6G - Roln i ochrona środ.'!S136</f>
        <v>0</v>
      </c>
      <c r="R37" s="1628">
        <f>+'Tab. 6D - Oświata'!T27+'Tab. 6D - Oświata'!T38+'Tab. 6D - Oświata'!T47+'Tab. 6G - Roln i ochrona środ.'!T136</f>
        <v>0</v>
      </c>
      <c r="S37" s="1628">
        <f>+'Tab. 6D - Oświata'!U27+'Tab. 6D - Oświata'!U38+'Tab. 6D - Oświata'!U47+'Tab. 6G - Roln i ochrona środ.'!U136</f>
        <v>0</v>
      </c>
      <c r="T37" s="1628">
        <f>+'Tab. 6D - Oświata'!V27+'Tab. 6D - Oświata'!V38+'Tab. 6D - Oświata'!V47+'Tab. 6G - Roln i ochrona środ.'!V136</f>
        <v>0</v>
      </c>
      <c r="U37" s="1628">
        <f>+'Tab. 6D - Oświata'!W27+'Tab. 6D - Oświata'!W38+'Tab. 6D - Oświata'!W47+'Tab. 6G - Roln i ochrona środ.'!W136</f>
        <v>0</v>
      </c>
      <c r="V37" s="1628">
        <f t="shared" si="1"/>
        <v>451070</v>
      </c>
      <c r="W37" s="1639" t="s">
        <v>77</v>
      </c>
      <c r="X37" s="913">
        <f>'Tab. 6D - Oświata'!O44</f>
        <v>30693</v>
      </c>
      <c r="Y37" s="914"/>
      <c r="Z37" s="914"/>
    </row>
    <row r="38" spans="1:26" s="915" customFormat="1" ht="35.25" customHeight="1" thickBot="1">
      <c r="A38" s="4732" t="s">
        <v>402</v>
      </c>
      <c r="B38" s="4733"/>
      <c r="C38" s="1634"/>
      <c r="D38" s="1634"/>
      <c r="E38" s="1634"/>
      <c r="F38" s="1634"/>
      <c r="G38" s="1634"/>
      <c r="H38" s="1634"/>
      <c r="I38" s="1634"/>
      <c r="J38" s="1634"/>
      <c r="K38" s="1634">
        <f>'Tab. 6D - Oświata'!M51+'Tab. 6A -Drogi'!M412+'Tab. 6D - Oświata'!M58</f>
        <v>15720</v>
      </c>
      <c r="L38" s="1634">
        <f>'Tab. 6D - Oświata'!N51+'Tab. 6A -Drogi'!N412+'Tab. 6D - Oświata'!N58</f>
        <v>15720</v>
      </c>
      <c r="M38" s="1634">
        <f>'Tab. 6D - Oświata'!O51+'Tab. 6A -Drogi'!O412+'Tab. 6D - Oświata'!O58</f>
        <v>277407</v>
      </c>
      <c r="N38" s="1634">
        <f>'Tab. 6D - Oświata'!P51+'Tab. 6A -Drogi'!P412+'Tab. 6D - Oświata'!P58</f>
        <v>73633</v>
      </c>
      <c r="O38" s="1634">
        <f>'Tab. 6D - Oświata'!Q51+'Tab. 6A -Drogi'!Q412+'Tab. 6D - Oświata'!Q58</f>
        <v>4000</v>
      </c>
      <c r="P38" s="1634">
        <f>'Tab. 6D - Oświata'!R51+'Tab. 6A -Drogi'!R412+'Tab. 6D - Oświata'!R58</f>
        <v>0</v>
      </c>
      <c r="Q38" s="1634">
        <f>'Tab. 6D - Oświata'!S51+'Tab. 6A -Drogi'!S412+'Tab. 6D - Oświata'!S58</f>
        <v>0</v>
      </c>
      <c r="R38" s="1634">
        <f>'Tab. 6D - Oświata'!T51+'Tab. 6A -Drogi'!T412+'Tab. 6D - Oświata'!T58</f>
        <v>0</v>
      </c>
      <c r="S38" s="1634">
        <f>'Tab. 6D - Oświata'!U51+'Tab. 6A -Drogi'!U412+'Tab. 6D - Oświata'!U58</f>
        <v>0</v>
      </c>
      <c r="T38" s="1634">
        <f>'Tab. 6D - Oświata'!V51+'Tab. 6A -Drogi'!V412+'Tab. 6D - Oświata'!V58</f>
        <v>0</v>
      </c>
      <c r="U38" s="1634">
        <f>'Tab. 6D - Oświata'!W51+'Tab. 6A -Drogi'!W412+'Tab. 6D - Oświata'!W58</f>
        <v>0</v>
      </c>
      <c r="V38" s="1634">
        <f t="shared" si="1"/>
        <v>370760</v>
      </c>
      <c r="W38" s="1638">
        <f>N38+O38+P38+Q38+R38+S38+T38+U38</f>
        <v>77633</v>
      </c>
      <c r="X38" s="913"/>
      <c r="Y38" s="914"/>
      <c r="Z38" s="914"/>
    </row>
    <row r="39" spans="1:26" s="915" customFormat="1" ht="35.25" customHeight="1" thickBot="1">
      <c r="A39" s="4726" t="s">
        <v>403</v>
      </c>
      <c r="B39" s="4727"/>
      <c r="C39" s="1628"/>
      <c r="D39" s="1628"/>
      <c r="E39" s="1628"/>
      <c r="F39" s="1628"/>
      <c r="G39" s="1628"/>
      <c r="H39" s="1628"/>
      <c r="I39" s="1628"/>
      <c r="J39" s="1628"/>
      <c r="K39" s="1628">
        <f>'Tab. 6D - Oświata'!M54+'Tab. 6A -Drogi'!M417+'Tab. 6D - Oświata'!M61</f>
        <v>231812</v>
      </c>
      <c r="L39" s="1628">
        <f>'Tab. 6D - Oświata'!N54+'Tab. 6A -Drogi'!N417+'Tab. 6D - Oświata'!N61</f>
        <v>231812</v>
      </c>
      <c r="M39" s="1628">
        <f>'Tab. 6D - Oświata'!O54+'Tab. 6A -Drogi'!O417+'Tab. 6D - Oświata'!O61</f>
        <v>59097</v>
      </c>
      <c r="N39" s="1628">
        <f>'Tab. 6D - Oświata'!P54+'Tab. 6A -Drogi'!P417+'Tab. 6D - Oświata'!P61</f>
        <v>73349</v>
      </c>
      <c r="O39" s="1628">
        <f>'Tab. 6D - Oświata'!Q54+'Tab. 6A -Drogi'!Q417+'Tab. 6D - Oświata'!Q61</f>
        <v>4000</v>
      </c>
      <c r="P39" s="1628">
        <f>'Tab. 6D - Oświata'!R54+'Tab. 6A -Drogi'!R417+'Tab. 6D - Oświata'!R61</f>
        <v>0</v>
      </c>
      <c r="Q39" s="1628">
        <f>'Tab. 6D - Oświata'!S54+'Tab. 6A -Drogi'!S417+'Tab. 6D - Oświata'!S61</f>
        <v>0</v>
      </c>
      <c r="R39" s="1628">
        <f>'Tab. 6D - Oświata'!T54+'Tab. 6A -Drogi'!T417+'Tab. 6D - Oświata'!T61</f>
        <v>0</v>
      </c>
      <c r="S39" s="1628">
        <f>'Tab. 6D - Oświata'!U54+'Tab. 6A -Drogi'!U417+'Tab. 6D - Oświata'!U61</f>
        <v>0</v>
      </c>
      <c r="T39" s="1628">
        <f>'Tab. 6D - Oświata'!V54+'Tab. 6A -Drogi'!V417+'Tab. 6D - Oświata'!V61</f>
        <v>0</v>
      </c>
      <c r="U39" s="1628">
        <f>'Tab. 6D - Oświata'!W54+'Tab. 6A -Drogi'!W417+'Tab. 6D - Oświata'!W61</f>
        <v>0</v>
      </c>
      <c r="V39" s="1628">
        <f t="shared" si="1"/>
        <v>368258</v>
      </c>
      <c r="W39" s="1639" t="s">
        <v>77</v>
      </c>
      <c r="X39" s="913"/>
      <c r="Y39" s="914"/>
      <c r="Z39" s="914"/>
    </row>
    <row r="40" spans="1:26" ht="13.5" thickBot="1">
      <c r="A40" s="1643"/>
      <c r="B40" s="1644"/>
      <c r="C40" s="1644"/>
      <c r="D40" s="1644"/>
      <c r="E40" s="1644"/>
      <c r="F40" s="1644"/>
      <c r="G40" s="1644"/>
      <c r="H40" s="1644"/>
      <c r="I40" s="1644"/>
      <c r="J40" s="1644"/>
      <c r="K40" s="1635"/>
      <c r="L40" s="1635"/>
      <c r="M40" s="1644"/>
      <c r="N40" s="1644"/>
      <c r="O40" s="1644"/>
      <c r="P40" s="1644"/>
      <c r="Q40" s="1644"/>
      <c r="R40" s="1644"/>
      <c r="S40" s="1644"/>
      <c r="T40" s="1644"/>
      <c r="U40" s="1644"/>
      <c r="V40" s="1644"/>
      <c r="W40" s="1644"/>
    </row>
    <row r="41" spans="1:26" s="915" customFormat="1" ht="21.75" customHeight="1" thickBot="1">
      <c r="A41" s="4724" t="s">
        <v>299</v>
      </c>
      <c r="B41" s="4725"/>
      <c r="C41" s="1627">
        <f t="shared" ref="C41:J42" si="6">C7+C9+C11+C13+C15+C17+C19+C21+C25+C36</f>
        <v>43945192</v>
      </c>
      <c r="D41" s="1627" t="e">
        <f t="shared" si="6"/>
        <v>#REF!</v>
      </c>
      <c r="E41" s="1627" t="e">
        <f t="shared" si="6"/>
        <v>#REF!</v>
      </c>
      <c r="F41" s="1627" t="e">
        <f t="shared" si="6"/>
        <v>#REF!</v>
      </c>
      <c r="G41" s="1627">
        <f t="shared" si="6"/>
        <v>62794493</v>
      </c>
      <c r="H41" s="1627">
        <f t="shared" si="6"/>
        <v>97826451</v>
      </c>
      <c r="I41" s="1627">
        <f t="shared" si="6"/>
        <v>148880214</v>
      </c>
      <c r="J41" s="1627">
        <f t="shared" si="6"/>
        <v>208841879</v>
      </c>
      <c r="K41" s="1627">
        <f>K7+K9+K11+K13+K15+K17+K19+K21+K25+K36+K23+K38</f>
        <v>847125661</v>
      </c>
      <c r="L41" s="1627">
        <f t="shared" ref="L41:T41" si="7">L7+L9+L11+L13+L15+L17+L19+L21+L25+L36+L23+L38</f>
        <v>285617690</v>
      </c>
      <c r="M41" s="1627">
        <f t="shared" si="7"/>
        <v>220158200</v>
      </c>
      <c r="N41" s="1627">
        <f t="shared" si="7"/>
        <v>177936663</v>
      </c>
      <c r="O41" s="1627">
        <f t="shared" si="7"/>
        <v>251303374</v>
      </c>
      <c r="P41" s="1627">
        <f t="shared" si="7"/>
        <v>187438471</v>
      </c>
      <c r="Q41" s="1627">
        <f t="shared" si="7"/>
        <v>74660246</v>
      </c>
      <c r="R41" s="1627">
        <f t="shared" si="7"/>
        <v>52752231</v>
      </c>
      <c r="S41" s="1627">
        <f t="shared" si="7"/>
        <v>36656133</v>
      </c>
      <c r="T41" s="1627">
        <f t="shared" si="7"/>
        <v>34123337</v>
      </c>
      <c r="U41" s="1627">
        <f>U7+U9+U11+U13+U15+U17+U19+U21+U25+U36+U23+U38</f>
        <v>34288222</v>
      </c>
      <c r="V41" s="1627">
        <f t="shared" ref="V41" si="8">V7+V9+V11+V13+V15+V17+V19+V21+V25+V36+V23+V38</f>
        <v>1916442538</v>
      </c>
      <c r="W41" s="1638">
        <f>N41+O41+P41+Q41+R41+S41+T41+U41</f>
        <v>849158677</v>
      </c>
      <c r="X41" s="921"/>
      <c r="Y41" s="914"/>
      <c r="Z41" s="914"/>
    </row>
    <row r="42" spans="1:26" s="915" customFormat="1" ht="21.75" customHeight="1" thickBot="1">
      <c r="A42" s="4726" t="s">
        <v>300</v>
      </c>
      <c r="B42" s="4727"/>
      <c r="C42" s="1628">
        <f t="shared" si="6"/>
        <v>36722584</v>
      </c>
      <c r="D42" s="1628" t="e">
        <f t="shared" si="6"/>
        <v>#REF!</v>
      </c>
      <c r="E42" s="1628" t="e">
        <f t="shared" si="6"/>
        <v>#REF!</v>
      </c>
      <c r="F42" s="1628" t="e">
        <f t="shared" si="6"/>
        <v>#REF!</v>
      </c>
      <c r="G42" s="1628">
        <f t="shared" si="6"/>
        <v>59423102</v>
      </c>
      <c r="H42" s="1628">
        <f t="shared" si="6"/>
        <v>91107584</v>
      </c>
      <c r="I42" s="1628">
        <f t="shared" si="6"/>
        <v>144978646</v>
      </c>
      <c r="J42" s="1628">
        <f t="shared" si="6"/>
        <v>181451737</v>
      </c>
      <c r="K42" s="1628">
        <f>K8+K10+K12+K14+K16+K18+K20+K22+K26+K37+K24+K39</f>
        <v>782668914</v>
      </c>
      <c r="L42" s="1628">
        <f t="shared" ref="L42:U42" si="9">L8+L10+L12+L14+L16+L18+L20+L22+L26+L37+L24+L39</f>
        <v>269652953</v>
      </c>
      <c r="M42" s="1628">
        <f t="shared" si="9"/>
        <v>223555012</v>
      </c>
      <c r="N42" s="1628">
        <f t="shared" si="9"/>
        <v>175553370</v>
      </c>
      <c r="O42" s="1628">
        <f t="shared" si="9"/>
        <v>228655478</v>
      </c>
      <c r="P42" s="1628">
        <f t="shared" si="9"/>
        <v>168318958</v>
      </c>
      <c r="Q42" s="1628">
        <f t="shared" si="9"/>
        <v>67493975</v>
      </c>
      <c r="R42" s="1628">
        <f t="shared" si="9"/>
        <v>45534748</v>
      </c>
      <c r="S42" s="1628">
        <f t="shared" si="9"/>
        <v>30574519</v>
      </c>
      <c r="T42" s="1628">
        <f t="shared" si="9"/>
        <v>30240549</v>
      </c>
      <c r="U42" s="1628">
        <f t="shared" si="9"/>
        <v>30342746</v>
      </c>
      <c r="V42" s="1628">
        <f>V8+V10+V12+V14+V16+V18+V20+V22+V26+V37+V24+V39</f>
        <v>1782938269</v>
      </c>
      <c r="W42" s="1639" t="s">
        <v>77</v>
      </c>
      <c r="X42" s="921"/>
      <c r="Y42" s="914"/>
      <c r="Z42" s="914"/>
    </row>
    <row r="43" spans="1:26">
      <c r="B43" s="920"/>
      <c r="C43" s="920"/>
      <c r="D43" s="920"/>
      <c r="E43" s="920"/>
      <c r="F43" s="920"/>
      <c r="G43" s="920"/>
      <c r="V43" s="920"/>
      <c r="W43" s="920"/>
    </row>
    <row r="44" spans="1:26">
      <c r="A44" s="920" t="s">
        <v>301</v>
      </c>
      <c r="C44" s="922" t="e">
        <f>+'Tabela nr 6'!B47</f>
        <v>#REF!</v>
      </c>
      <c r="D44" s="922" t="e">
        <f>+'Tabela nr 6'!C47</f>
        <v>#REF!</v>
      </c>
      <c r="E44" s="922" t="e">
        <f>+'Tabela nr 6'!D47</f>
        <v>#REF!</v>
      </c>
      <c r="F44" s="922" t="e">
        <f>+'Tabela nr 6'!E47</f>
        <v>#REF!</v>
      </c>
      <c r="G44" s="922" t="e">
        <f>+'Tabela nr 6'!F47</f>
        <v>#REF!</v>
      </c>
      <c r="H44" s="922" t="e">
        <f>+'Tabela nr 6'!G47</f>
        <v>#REF!</v>
      </c>
      <c r="I44" s="922" t="e">
        <f>+'Tabela nr 6'!H47</f>
        <v>#REF!</v>
      </c>
      <c r="J44" s="922" t="e">
        <f>+'Tabela nr 6'!I47</f>
        <v>#REF!</v>
      </c>
      <c r="K44" s="1629">
        <f>+'Tabela nr 6'!J47</f>
        <v>847125661.29999995</v>
      </c>
      <c r="L44" s="1624">
        <f>+'Tabela nr 6'!K47</f>
        <v>285617690</v>
      </c>
      <c r="M44" s="922">
        <f>+'Tabela nr 6'!L47</f>
        <v>220158200</v>
      </c>
      <c r="N44" s="922">
        <f>+'Tabela nr 6'!M47</f>
        <v>177936663</v>
      </c>
      <c r="O44" s="922">
        <f>+'Tabela nr 6'!N47</f>
        <v>251303374</v>
      </c>
      <c r="P44" s="922">
        <f>+'Tabela nr 6'!O47</f>
        <v>187438471</v>
      </c>
      <c r="Q44" s="922">
        <f>+'Tabela nr 6'!P47</f>
        <v>74660246</v>
      </c>
      <c r="R44" s="922">
        <f>+'Tabela nr 6'!Q47</f>
        <v>52752231</v>
      </c>
      <c r="S44" s="922">
        <f>+'Tabela nr 6'!R47</f>
        <v>36656133</v>
      </c>
      <c r="T44" s="922">
        <f>+'Tabela nr 6'!S47</f>
        <v>34123337</v>
      </c>
      <c r="U44" s="922">
        <f>+'Tabela nr 6'!T47</f>
        <v>34288222</v>
      </c>
      <c r="V44" s="922">
        <f>+'Tabela nr 6'!U47</f>
        <v>1916442538.3</v>
      </c>
      <c r="W44" s="922">
        <f>'Tabela nr 6'!V12</f>
        <v>849158677</v>
      </c>
    </row>
    <row r="45" spans="1:26">
      <c r="A45" s="920" t="s">
        <v>302</v>
      </c>
      <c r="C45" s="922" t="e">
        <f>+'Tabela nr 6'!B48</f>
        <v>#REF!</v>
      </c>
      <c r="D45" s="922" t="e">
        <f>+'Tabela nr 6'!C48</f>
        <v>#REF!</v>
      </c>
      <c r="E45" s="922" t="e">
        <f>+'Tabela nr 6'!D48</f>
        <v>#REF!</v>
      </c>
      <c r="F45" s="922" t="e">
        <f>+'Tabela nr 6'!E48</f>
        <v>#REF!</v>
      </c>
      <c r="G45" s="922" t="e">
        <f>+'Tabela nr 6'!F48</f>
        <v>#REF!</v>
      </c>
      <c r="H45" s="922" t="e">
        <f>+'Tabela nr 6'!G48</f>
        <v>#REF!</v>
      </c>
      <c r="I45" s="922" t="e">
        <f>+'Tabela nr 6'!H48</f>
        <v>#REF!</v>
      </c>
      <c r="J45" s="922" t="e">
        <f>+'Tabela nr 6'!I48</f>
        <v>#REF!</v>
      </c>
      <c r="K45" s="1629">
        <f>+'Tabela nr 6'!J48</f>
        <v>782668914</v>
      </c>
      <c r="L45" s="1624">
        <f>+'Tabela nr 6'!K48</f>
        <v>269652953</v>
      </c>
      <c r="M45" s="922">
        <f>+'Tabela nr 6'!L48</f>
        <v>223555012</v>
      </c>
      <c r="N45" s="922">
        <f>+'Tabela nr 6'!M48</f>
        <v>175553370</v>
      </c>
      <c r="O45" s="922">
        <f>+'Tabela nr 6'!N48</f>
        <v>228655478</v>
      </c>
      <c r="P45" s="922">
        <f>+'Tabela nr 6'!O48</f>
        <v>168318958</v>
      </c>
      <c r="Q45" s="922">
        <f>+'Tabela nr 6'!P48</f>
        <v>67493975</v>
      </c>
      <c r="R45" s="922">
        <f>+'Tabela nr 6'!Q48</f>
        <v>45534748</v>
      </c>
      <c r="S45" s="922">
        <f>+'Tabela nr 6'!R48</f>
        <v>30574519</v>
      </c>
      <c r="T45" s="922">
        <f>+'Tabela nr 6'!S48</f>
        <v>30240549</v>
      </c>
      <c r="U45" s="922">
        <f>+'Tabela nr 6'!T48</f>
        <v>30342746</v>
      </c>
      <c r="V45" s="922">
        <f>+'Tabela nr 6'!U48</f>
        <v>1782938269</v>
      </c>
      <c r="W45" s="922"/>
    </row>
    <row r="46" spans="1:26">
      <c r="B46" s="920"/>
      <c r="C46" s="920"/>
      <c r="D46" s="920"/>
      <c r="E46" s="920"/>
      <c r="F46" s="920"/>
      <c r="G46" s="920"/>
      <c r="V46" s="920"/>
      <c r="W46" s="920"/>
    </row>
    <row r="47" spans="1:26">
      <c r="B47" s="920" t="s">
        <v>303</v>
      </c>
      <c r="C47" s="922" t="e">
        <f>+C42-C45</f>
        <v>#REF!</v>
      </c>
      <c r="D47" s="922" t="e">
        <f t="shared" ref="D47:O48" si="10">+D41-D44</f>
        <v>#REF!</v>
      </c>
      <c r="E47" s="922" t="e">
        <f t="shared" si="10"/>
        <v>#REF!</v>
      </c>
      <c r="F47" s="922" t="e">
        <f t="shared" si="10"/>
        <v>#REF!</v>
      </c>
      <c r="G47" s="922" t="e">
        <f>+G41-G44</f>
        <v>#REF!</v>
      </c>
      <c r="H47" s="922" t="e">
        <f t="shared" si="10"/>
        <v>#REF!</v>
      </c>
      <c r="I47" s="922" t="e">
        <f t="shared" si="10"/>
        <v>#REF!</v>
      </c>
      <c r="J47" s="922" t="e">
        <f>+J41-J44</f>
        <v>#REF!</v>
      </c>
      <c r="K47" s="1629">
        <f>+K41-K44</f>
        <v>-0.29999995231628418</v>
      </c>
      <c r="L47" s="1624">
        <f>+L41-L44</f>
        <v>0</v>
      </c>
      <c r="M47" s="922">
        <f t="shared" si="10"/>
        <v>0</v>
      </c>
      <c r="N47" s="922">
        <f t="shared" si="10"/>
        <v>0</v>
      </c>
      <c r="O47" s="922">
        <f t="shared" si="10"/>
        <v>0</v>
      </c>
      <c r="P47" s="922">
        <f>+P41-P44</f>
        <v>0</v>
      </c>
      <c r="Q47" s="922">
        <f t="shared" ref="Q47:R47" si="11">+Q41-Q44</f>
        <v>0</v>
      </c>
      <c r="R47" s="922">
        <f t="shared" si="11"/>
        <v>0</v>
      </c>
      <c r="S47" s="922">
        <f t="shared" ref="S47:U47" si="12">+S41-S44</f>
        <v>0</v>
      </c>
      <c r="T47" s="922">
        <f t="shared" si="12"/>
        <v>0</v>
      </c>
      <c r="U47" s="922">
        <f t="shared" si="12"/>
        <v>0</v>
      </c>
      <c r="V47" s="922">
        <f>+V41-V44</f>
        <v>-0.29999995231628418</v>
      </c>
      <c r="W47" s="922">
        <f>+W41-W44</f>
        <v>0</v>
      </c>
    </row>
    <row r="48" spans="1:26">
      <c r="B48" s="920"/>
      <c r="C48" s="922" t="e">
        <f>+C42-C45</f>
        <v>#REF!</v>
      </c>
      <c r="D48" s="922" t="e">
        <f t="shared" si="10"/>
        <v>#REF!</v>
      </c>
      <c r="E48" s="922" t="e">
        <f t="shared" si="10"/>
        <v>#REF!</v>
      </c>
      <c r="F48" s="922" t="e">
        <f t="shared" si="10"/>
        <v>#REF!</v>
      </c>
      <c r="G48" s="922" t="e">
        <f t="shared" si="10"/>
        <v>#REF!</v>
      </c>
      <c r="H48" s="922" t="e">
        <f t="shared" si="10"/>
        <v>#REF!</v>
      </c>
      <c r="I48" s="922" t="e">
        <f t="shared" si="10"/>
        <v>#REF!</v>
      </c>
      <c r="J48" s="922" t="e">
        <f t="shared" si="10"/>
        <v>#REF!</v>
      </c>
      <c r="K48" s="1629">
        <f>+K42-K45</f>
        <v>0</v>
      </c>
      <c r="L48" s="1624">
        <f t="shared" si="10"/>
        <v>0</v>
      </c>
      <c r="M48" s="922">
        <f t="shared" si="10"/>
        <v>0</v>
      </c>
      <c r="N48" s="922">
        <f t="shared" si="10"/>
        <v>0</v>
      </c>
      <c r="O48" s="922">
        <f t="shared" si="10"/>
        <v>0</v>
      </c>
      <c r="P48" s="922">
        <f>+P42-P45</f>
        <v>0</v>
      </c>
      <c r="Q48" s="922">
        <f t="shared" ref="Q48:R48" si="13">+Q42-Q45</f>
        <v>0</v>
      </c>
      <c r="R48" s="922">
        <f t="shared" si="13"/>
        <v>0</v>
      </c>
      <c r="S48" s="922">
        <f t="shared" ref="S48:U48" si="14">+S42-S45</f>
        <v>0</v>
      </c>
      <c r="T48" s="922">
        <f t="shared" si="14"/>
        <v>0</v>
      </c>
      <c r="U48" s="922">
        <f t="shared" si="14"/>
        <v>0</v>
      </c>
      <c r="V48" s="922">
        <f>+V42-V45</f>
        <v>0</v>
      </c>
      <c r="W48" s="922">
        <v>0</v>
      </c>
    </row>
    <row r="49" spans="1:26">
      <c r="B49" s="920"/>
      <c r="C49" s="920"/>
      <c r="D49" s="920"/>
      <c r="E49" s="920"/>
      <c r="F49" s="920"/>
      <c r="G49" s="920"/>
      <c r="K49" s="922"/>
      <c r="V49" s="920"/>
      <c r="W49" s="920"/>
      <c r="X49" s="900"/>
      <c r="Y49" s="900"/>
      <c r="Z49" s="900"/>
    </row>
    <row r="50" spans="1:26">
      <c r="B50" s="920"/>
      <c r="C50" s="920"/>
      <c r="D50" s="920"/>
      <c r="E50" s="920"/>
      <c r="F50" s="920"/>
      <c r="G50" s="920"/>
      <c r="K50" s="922"/>
      <c r="V50" s="920"/>
      <c r="W50" s="920"/>
      <c r="X50" s="900"/>
      <c r="Y50" s="900"/>
      <c r="Z50" s="900"/>
    </row>
    <row r="51" spans="1:26">
      <c r="A51" s="923"/>
      <c r="B51" s="920"/>
      <c r="C51" s="924"/>
      <c r="D51" s="925"/>
      <c r="E51" s="925"/>
      <c r="F51" s="925"/>
      <c r="G51" s="924"/>
      <c r="H51" s="924"/>
      <c r="I51" s="924"/>
      <c r="K51" s="922"/>
      <c r="V51" s="920"/>
      <c r="W51" s="920"/>
      <c r="X51" s="900"/>
      <c r="Y51" s="900"/>
      <c r="Z51" s="900"/>
    </row>
    <row r="52" spans="1:26" ht="23.25" customHeight="1">
      <c r="B52" s="926"/>
      <c r="C52" s="922"/>
      <c r="D52" s="920"/>
      <c r="E52" s="920"/>
      <c r="F52" s="920"/>
      <c r="G52" s="922"/>
      <c r="H52" s="922"/>
      <c r="I52" s="922"/>
      <c r="K52" s="922"/>
      <c r="V52" s="920"/>
      <c r="W52" s="920"/>
      <c r="X52" s="900"/>
      <c r="Y52" s="900"/>
      <c r="Z52" s="900"/>
    </row>
    <row r="53" spans="1:26">
      <c r="B53" s="920"/>
      <c r="C53" s="920"/>
      <c r="D53" s="920"/>
      <c r="E53" s="920"/>
      <c r="F53" s="920"/>
      <c r="G53" s="920"/>
      <c r="K53" s="922"/>
      <c r="V53" s="920"/>
      <c r="W53" s="920"/>
      <c r="X53" s="900"/>
      <c r="Y53" s="900"/>
      <c r="Z53" s="900"/>
    </row>
    <row r="54" spans="1:26">
      <c r="A54" s="927"/>
      <c r="B54" s="920"/>
      <c r="C54" s="920"/>
      <c r="D54" s="920"/>
      <c r="E54" s="920"/>
      <c r="F54" s="920"/>
      <c r="G54" s="920"/>
      <c r="K54" s="922"/>
      <c r="V54" s="920"/>
      <c r="W54" s="920"/>
      <c r="X54" s="900"/>
      <c r="Y54" s="900"/>
      <c r="Z54" s="900"/>
    </row>
    <row r="55" spans="1:26">
      <c r="B55" s="920"/>
      <c r="C55" s="922"/>
      <c r="D55" s="920"/>
      <c r="E55" s="920"/>
      <c r="F55" s="920"/>
      <c r="G55" s="922"/>
      <c r="H55" s="922"/>
      <c r="I55" s="922"/>
      <c r="K55" s="922"/>
      <c r="V55" s="920"/>
      <c r="W55" s="920"/>
      <c r="X55" s="900"/>
      <c r="Y55" s="900"/>
      <c r="Z55" s="900"/>
    </row>
    <row r="56" spans="1:26">
      <c r="B56" s="920"/>
      <c r="C56" s="922"/>
      <c r="D56" s="920"/>
      <c r="E56" s="920"/>
      <c r="F56" s="920"/>
      <c r="G56" s="922"/>
      <c r="H56" s="922"/>
      <c r="I56" s="922"/>
      <c r="V56" s="920"/>
      <c r="W56" s="920"/>
      <c r="X56" s="900"/>
      <c r="Y56" s="900"/>
      <c r="Z56" s="900"/>
    </row>
    <row r="57" spans="1:26">
      <c r="B57" s="920"/>
      <c r="C57" s="924"/>
      <c r="D57" s="925"/>
      <c r="E57" s="925"/>
      <c r="F57" s="925"/>
      <c r="G57" s="924"/>
      <c r="H57" s="924"/>
      <c r="I57" s="924"/>
      <c r="V57" s="920"/>
      <c r="W57" s="920"/>
      <c r="X57" s="900"/>
      <c r="Y57" s="900"/>
      <c r="Z57" s="900"/>
    </row>
    <row r="58" spans="1:26">
      <c r="B58" s="920"/>
      <c r="C58" s="920"/>
      <c r="D58" s="920"/>
      <c r="E58" s="920"/>
      <c r="F58" s="920"/>
      <c r="G58" s="920"/>
      <c r="V58" s="920"/>
      <c r="W58" s="920"/>
      <c r="X58" s="900"/>
      <c r="Y58" s="900"/>
      <c r="Z58" s="900"/>
    </row>
    <row r="59" spans="1:26">
      <c r="A59" s="927"/>
      <c r="B59" s="920"/>
      <c r="C59" s="924"/>
      <c r="D59" s="925"/>
      <c r="E59" s="925"/>
      <c r="F59" s="925"/>
      <c r="G59" s="924"/>
      <c r="H59" s="924"/>
      <c r="I59" s="924"/>
      <c r="V59" s="920"/>
      <c r="W59" s="920"/>
      <c r="X59" s="900"/>
      <c r="Y59" s="900"/>
      <c r="Z59" s="900"/>
    </row>
    <row r="60" spans="1:26">
      <c r="B60" s="926"/>
      <c r="C60" s="922"/>
      <c r="D60" s="920"/>
      <c r="E60" s="920"/>
      <c r="F60" s="920"/>
      <c r="G60" s="922"/>
      <c r="V60" s="920"/>
      <c r="W60" s="920"/>
      <c r="X60" s="900"/>
      <c r="Y60" s="900"/>
      <c r="Z60" s="900"/>
    </row>
    <row r="61" spans="1:26">
      <c r="B61" s="920"/>
      <c r="C61" s="920"/>
      <c r="D61" s="920"/>
      <c r="E61" s="920"/>
      <c r="F61" s="920"/>
      <c r="G61" s="920"/>
      <c r="V61" s="920"/>
      <c r="W61" s="920"/>
      <c r="X61" s="900"/>
      <c r="Y61" s="900"/>
      <c r="Z61" s="900"/>
    </row>
    <row r="62" spans="1:26">
      <c r="B62" s="920"/>
      <c r="C62" s="920"/>
      <c r="D62" s="920"/>
      <c r="E62" s="920"/>
      <c r="F62" s="920"/>
      <c r="G62" s="920"/>
      <c r="V62" s="920"/>
      <c r="W62" s="920"/>
      <c r="X62" s="900"/>
      <c r="Y62" s="900"/>
      <c r="Z62" s="900"/>
    </row>
    <row r="63" spans="1:26">
      <c r="A63" s="900"/>
      <c r="B63" s="920"/>
      <c r="C63" s="920"/>
      <c r="D63" s="920"/>
      <c r="E63" s="920"/>
      <c r="F63" s="920"/>
      <c r="G63" s="920"/>
      <c r="V63" s="920"/>
      <c r="W63" s="920"/>
      <c r="X63" s="900"/>
      <c r="Y63" s="900"/>
      <c r="Z63" s="900"/>
    </row>
    <row r="64" spans="1:26">
      <c r="A64" s="900"/>
      <c r="B64" s="920"/>
      <c r="C64" s="920"/>
      <c r="D64" s="920"/>
      <c r="E64" s="920"/>
      <c r="F64" s="920"/>
      <c r="G64" s="920"/>
      <c r="V64" s="920"/>
      <c r="W64" s="920"/>
      <c r="X64" s="900"/>
      <c r="Y64" s="900"/>
      <c r="Z64" s="900"/>
    </row>
    <row r="65" spans="1:26">
      <c r="A65" s="900"/>
      <c r="B65" s="920"/>
      <c r="C65" s="920"/>
      <c r="D65" s="920"/>
      <c r="E65" s="920"/>
      <c r="F65" s="920"/>
      <c r="G65" s="920"/>
      <c r="V65" s="920"/>
      <c r="W65" s="920"/>
      <c r="X65" s="900"/>
      <c r="Y65" s="900"/>
      <c r="Z65" s="900"/>
    </row>
    <row r="66" spans="1:26">
      <c r="A66" s="900"/>
      <c r="B66" s="920"/>
      <c r="C66" s="920"/>
      <c r="D66" s="920"/>
      <c r="E66" s="920"/>
      <c r="F66" s="920"/>
      <c r="G66" s="920"/>
      <c r="V66" s="920"/>
      <c r="W66" s="920"/>
      <c r="X66" s="900"/>
      <c r="Y66" s="900"/>
      <c r="Z66" s="900"/>
    </row>
    <row r="67" spans="1:26">
      <c r="A67" s="900"/>
      <c r="B67" s="920"/>
      <c r="C67" s="920"/>
      <c r="D67" s="920"/>
      <c r="E67" s="920"/>
      <c r="F67" s="920"/>
      <c r="G67" s="920"/>
      <c r="V67" s="920"/>
      <c r="W67" s="920"/>
      <c r="X67" s="900"/>
      <c r="Y67" s="900"/>
      <c r="Z67" s="900"/>
    </row>
    <row r="68" spans="1:26">
      <c r="A68" s="900"/>
      <c r="B68" s="920"/>
      <c r="C68" s="920"/>
      <c r="D68" s="920"/>
      <c r="E68" s="920"/>
      <c r="F68" s="920"/>
      <c r="G68" s="920"/>
      <c r="V68" s="920"/>
      <c r="W68" s="920"/>
      <c r="X68" s="900"/>
      <c r="Y68" s="900"/>
      <c r="Z68" s="900"/>
    </row>
    <row r="69" spans="1:26">
      <c r="A69" s="900"/>
      <c r="B69" s="920"/>
      <c r="C69" s="920"/>
      <c r="D69" s="920"/>
      <c r="E69" s="920"/>
      <c r="F69" s="920"/>
      <c r="G69" s="920"/>
      <c r="V69" s="920"/>
      <c r="W69" s="920"/>
      <c r="X69" s="900"/>
      <c r="Y69" s="900"/>
      <c r="Z69" s="900"/>
    </row>
    <row r="70" spans="1:26">
      <c r="A70" s="900"/>
      <c r="B70" s="920"/>
      <c r="C70" s="920"/>
      <c r="D70" s="920"/>
      <c r="E70" s="920"/>
      <c r="F70" s="920"/>
      <c r="G70" s="920"/>
      <c r="V70" s="920"/>
      <c r="W70" s="920"/>
      <c r="X70" s="900"/>
      <c r="Y70" s="900"/>
      <c r="Z70" s="900"/>
    </row>
    <row r="71" spans="1:26">
      <c r="A71" s="900"/>
      <c r="B71" s="920"/>
      <c r="C71" s="920"/>
      <c r="D71" s="920"/>
      <c r="E71" s="920"/>
      <c r="F71" s="920"/>
      <c r="G71" s="920"/>
      <c r="V71" s="920"/>
      <c r="W71" s="920"/>
      <c r="X71" s="900"/>
      <c r="Y71" s="900"/>
      <c r="Z71" s="900"/>
    </row>
    <row r="72" spans="1:26">
      <c r="A72" s="900"/>
      <c r="B72" s="920"/>
      <c r="C72" s="920"/>
      <c r="D72" s="920"/>
      <c r="E72" s="920"/>
      <c r="F72" s="920"/>
      <c r="G72" s="920"/>
      <c r="V72" s="920"/>
      <c r="W72" s="920"/>
      <c r="X72" s="900"/>
      <c r="Y72" s="900"/>
      <c r="Z72" s="900"/>
    </row>
    <row r="73" spans="1:26">
      <c r="A73" s="900"/>
      <c r="B73" s="920"/>
      <c r="C73" s="920"/>
      <c r="D73" s="920"/>
      <c r="E73" s="920"/>
      <c r="F73" s="920"/>
      <c r="G73" s="920"/>
      <c r="V73" s="920"/>
      <c r="W73" s="920"/>
      <c r="X73" s="900"/>
      <c r="Y73" s="900"/>
      <c r="Z73" s="900"/>
    </row>
    <row r="74" spans="1:26">
      <c r="A74" s="900"/>
      <c r="B74" s="920"/>
      <c r="C74" s="920"/>
      <c r="D74" s="920"/>
      <c r="E74" s="920"/>
      <c r="F74" s="920"/>
      <c r="G74" s="920"/>
      <c r="V74" s="920"/>
      <c r="W74" s="920"/>
      <c r="X74" s="900"/>
      <c r="Y74" s="900"/>
      <c r="Z74" s="900"/>
    </row>
    <row r="75" spans="1:26">
      <c r="A75" s="900"/>
      <c r="B75" s="920"/>
      <c r="C75" s="920"/>
      <c r="D75" s="920"/>
      <c r="E75" s="920"/>
      <c r="F75" s="920"/>
      <c r="G75" s="920"/>
      <c r="V75" s="920"/>
      <c r="W75" s="920"/>
      <c r="X75" s="900"/>
      <c r="Y75" s="900"/>
      <c r="Z75" s="900"/>
    </row>
    <row r="76" spans="1:26">
      <c r="A76" s="900"/>
      <c r="B76" s="920"/>
      <c r="C76" s="920"/>
      <c r="D76" s="920"/>
      <c r="E76" s="920"/>
      <c r="F76" s="920"/>
      <c r="G76" s="920"/>
      <c r="V76" s="920"/>
      <c r="W76" s="920"/>
      <c r="X76" s="900"/>
      <c r="Y76" s="900"/>
      <c r="Z76" s="900"/>
    </row>
    <row r="77" spans="1:26">
      <c r="A77" s="900"/>
      <c r="B77" s="920"/>
      <c r="C77" s="920"/>
      <c r="D77" s="920"/>
      <c r="E77" s="920"/>
      <c r="F77" s="920"/>
      <c r="G77" s="920"/>
      <c r="V77" s="920"/>
      <c r="W77" s="920"/>
      <c r="X77" s="900"/>
      <c r="Y77" s="900"/>
      <c r="Z77" s="900"/>
    </row>
    <row r="78" spans="1:26">
      <c r="A78" s="900"/>
      <c r="B78" s="920"/>
      <c r="C78" s="920"/>
      <c r="D78" s="920"/>
      <c r="E78" s="920"/>
      <c r="F78" s="920"/>
      <c r="G78" s="920"/>
      <c r="V78" s="920"/>
      <c r="W78" s="920"/>
      <c r="X78" s="900"/>
      <c r="Y78" s="900"/>
      <c r="Z78" s="900"/>
    </row>
    <row r="79" spans="1:26">
      <c r="A79" s="900"/>
      <c r="B79" s="920"/>
      <c r="C79" s="920"/>
      <c r="D79" s="920"/>
      <c r="E79" s="920"/>
      <c r="F79" s="920"/>
      <c r="G79" s="920"/>
      <c r="V79" s="920"/>
      <c r="W79" s="920"/>
      <c r="X79" s="900"/>
      <c r="Y79" s="900"/>
      <c r="Z79" s="900"/>
    </row>
    <row r="80" spans="1:26">
      <c r="A80" s="900"/>
      <c r="B80" s="920"/>
      <c r="C80" s="920"/>
      <c r="D80" s="920"/>
      <c r="E80" s="920"/>
      <c r="F80" s="920"/>
      <c r="G80" s="920"/>
      <c r="V80" s="920"/>
      <c r="W80" s="920"/>
      <c r="X80" s="900"/>
      <c r="Y80" s="900"/>
      <c r="Z80" s="900"/>
    </row>
    <row r="81" spans="1:26">
      <c r="A81" s="900"/>
      <c r="B81" s="920"/>
      <c r="C81" s="920"/>
      <c r="D81" s="920"/>
      <c r="E81" s="920"/>
      <c r="F81" s="920"/>
      <c r="G81" s="920"/>
      <c r="V81" s="920"/>
      <c r="W81" s="920"/>
      <c r="X81" s="900"/>
      <c r="Y81" s="900"/>
      <c r="Z81" s="900"/>
    </row>
    <row r="82" spans="1:26">
      <c r="A82" s="900"/>
      <c r="B82" s="920"/>
      <c r="C82" s="920"/>
      <c r="D82" s="920"/>
      <c r="E82" s="920"/>
      <c r="F82" s="920"/>
      <c r="G82" s="920"/>
      <c r="V82" s="920"/>
      <c r="W82" s="920"/>
      <c r="X82" s="900"/>
      <c r="Y82" s="900"/>
      <c r="Z82" s="900"/>
    </row>
    <row r="83" spans="1:26">
      <c r="A83" s="900"/>
      <c r="B83" s="920"/>
      <c r="C83" s="920"/>
      <c r="D83" s="920"/>
      <c r="E83" s="920"/>
      <c r="F83" s="920"/>
      <c r="G83" s="920"/>
      <c r="V83" s="920"/>
      <c r="W83" s="920"/>
      <c r="X83" s="900"/>
      <c r="Y83" s="900"/>
      <c r="Z83" s="900"/>
    </row>
    <row r="84" spans="1:26">
      <c r="A84" s="900"/>
      <c r="B84" s="920"/>
      <c r="C84" s="920"/>
      <c r="D84" s="920"/>
      <c r="E84" s="920"/>
      <c r="F84" s="920"/>
      <c r="G84" s="920"/>
      <c r="V84" s="920"/>
      <c r="W84" s="920"/>
      <c r="X84" s="900"/>
      <c r="Y84" s="900"/>
      <c r="Z84" s="900"/>
    </row>
    <row r="85" spans="1:26">
      <c r="A85" s="900"/>
      <c r="B85" s="920"/>
      <c r="C85" s="920"/>
      <c r="D85" s="920"/>
      <c r="E85" s="920"/>
      <c r="F85" s="920"/>
      <c r="G85" s="920"/>
      <c r="V85" s="920"/>
      <c r="W85" s="920"/>
      <c r="X85" s="900"/>
      <c r="Y85" s="900"/>
      <c r="Z85" s="900"/>
    </row>
    <row r="86" spans="1:26">
      <c r="A86" s="900"/>
      <c r="B86" s="920"/>
      <c r="C86" s="920"/>
      <c r="D86" s="920"/>
      <c r="E86" s="920"/>
      <c r="F86" s="920"/>
      <c r="G86" s="920"/>
      <c r="V86" s="920"/>
      <c r="W86" s="920"/>
      <c r="X86" s="900"/>
      <c r="Y86" s="900"/>
      <c r="Z86" s="900"/>
    </row>
    <row r="87" spans="1:26">
      <c r="A87" s="900"/>
      <c r="B87" s="920"/>
      <c r="C87" s="920"/>
      <c r="D87" s="920"/>
      <c r="E87" s="920"/>
      <c r="F87" s="920"/>
      <c r="G87" s="920"/>
      <c r="V87" s="920"/>
      <c r="W87" s="920"/>
      <c r="X87" s="900"/>
      <c r="Y87" s="900"/>
      <c r="Z87" s="900"/>
    </row>
    <row r="88" spans="1:26">
      <c r="A88" s="900"/>
      <c r="B88" s="920"/>
      <c r="C88" s="920"/>
      <c r="D88" s="920"/>
      <c r="E88" s="920"/>
      <c r="F88" s="920"/>
      <c r="G88" s="920"/>
      <c r="V88" s="920"/>
      <c r="W88" s="920"/>
      <c r="X88" s="900"/>
      <c r="Y88" s="900"/>
      <c r="Z88" s="900"/>
    </row>
    <row r="89" spans="1:26">
      <c r="A89" s="900"/>
      <c r="B89" s="920"/>
      <c r="C89" s="920"/>
      <c r="D89" s="920"/>
      <c r="E89" s="920"/>
      <c r="F89" s="920"/>
      <c r="G89" s="920"/>
      <c r="V89" s="920"/>
      <c r="W89" s="920"/>
      <c r="X89" s="900"/>
      <c r="Y89" s="900"/>
      <c r="Z89" s="900"/>
    </row>
    <row r="90" spans="1:26">
      <c r="A90" s="900"/>
      <c r="B90" s="920"/>
      <c r="C90" s="920"/>
      <c r="D90" s="920"/>
      <c r="E90" s="920"/>
      <c r="F90" s="920"/>
      <c r="G90" s="920"/>
      <c r="V90" s="920"/>
      <c r="W90" s="920"/>
      <c r="X90" s="900"/>
      <c r="Y90" s="900"/>
      <c r="Z90" s="900"/>
    </row>
    <row r="91" spans="1:26">
      <c r="A91" s="900"/>
      <c r="B91" s="920"/>
      <c r="C91" s="920"/>
      <c r="D91" s="920"/>
      <c r="E91" s="920"/>
      <c r="F91" s="920"/>
      <c r="G91" s="920"/>
      <c r="V91" s="920"/>
      <c r="W91" s="920"/>
      <c r="X91" s="900"/>
      <c r="Y91" s="900"/>
      <c r="Z91" s="900"/>
    </row>
    <row r="92" spans="1:26">
      <c r="A92" s="900"/>
      <c r="B92" s="920"/>
      <c r="C92" s="920"/>
      <c r="D92" s="920"/>
      <c r="E92" s="920"/>
      <c r="F92" s="920"/>
      <c r="G92" s="920"/>
      <c r="V92" s="920"/>
      <c r="W92" s="920"/>
      <c r="X92" s="900"/>
      <c r="Y92" s="900"/>
      <c r="Z92" s="900"/>
    </row>
    <row r="93" spans="1:26">
      <c r="A93" s="900"/>
      <c r="B93" s="920"/>
      <c r="C93" s="920"/>
      <c r="D93" s="920"/>
      <c r="E93" s="920"/>
      <c r="F93" s="920"/>
      <c r="G93" s="920"/>
      <c r="V93" s="920"/>
      <c r="W93" s="920"/>
      <c r="X93" s="900"/>
      <c r="Y93" s="900"/>
      <c r="Z93" s="900"/>
    </row>
    <row r="94" spans="1:26">
      <c r="A94" s="900"/>
      <c r="B94" s="920"/>
      <c r="C94" s="920"/>
      <c r="D94" s="920"/>
      <c r="E94" s="920"/>
      <c r="F94" s="920"/>
      <c r="G94" s="920"/>
      <c r="V94" s="920"/>
      <c r="W94" s="920"/>
      <c r="X94" s="900"/>
      <c r="Y94" s="900"/>
      <c r="Z94" s="900"/>
    </row>
    <row r="95" spans="1:26">
      <c r="A95" s="900"/>
      <c r="B95" s="920"/>
      <c r="C95" s="920"/>
      <c r="D95" s="920"/>
      <c r="E95" s="920"/>
      <c r="F95" s="920"/>
      <c r="G95" s="920"/>
      <c r="V95" s="920"/>
      <c r="W95" s="920"/>
      <c r="X95" s="900"/>
      <c r="Y95" s="900"/>
      <c r="Z95" s="900"/>
    </row>
    <row r="96" spans="1:26">
      <c r="A96" s="900"/>
      <c r="B96" s="920"/>
      <c r="C96" s="920"/>
      <c r="D96" s="920"/>
      <c r="E96" s="920"/>
      <c r="F96" s="920"/>
      <c r="G96" s="920"/>
      <c r="V96" s="920"/>
      <c r="W96" s="920"/>
      <c r="X96" s="900"/>
      <c r="Y96" s="900"/>
      <c r="Z96" s="900"/>
    </row>
    <row r="97" spans="1:26">
      <c r="A97" s="900"/>
      <c r="B97" s="920"/>
      <c r="C97" s="920"/>
      <c r="D97" s="920"/>
      <c r="E97" s="920"/>
      <c r="F97" s="920"/>
      <c r="G97" s="920"/>
      <c r="V97" s="920"/>
      <c r="W97" s="920"/>
      <c r="X97" s="900"/>
      <c r="Y97" s="900"/>
      <c r="Z97" s="900"/>
    </row>
    <row r="98" spans="1:26">
      <c r="A98" s="900"/>
      <c r="B98" s="920"/>
      <c r="C98" s="920"/>
      <c r="D98" s="920"/>
      <c r="E98" s="920"/>
      <c r="F98" s="920"/>
      <c r="G98" s="920"/>
      <c r="V98" s="920"/>
      <c r="W98" s="920"/>
      <c r="X98" s="900"/>
      <c r="Y98" s="900"/>
      <c r="Z98" s="900"/>
    </row>
    <row r="99" spans="1:26">
      <c r="A99" s="900"/>
      <c r="B99" s="920"/>
      <c r="C99" s="920"/>
      <c r="D99" s="920"/>
      <c r="E99" s="920"/>
      <c r="F99" s="920"/>
      <c r="G99" s="920"/>
      <c r="V99" s="920"/>
      <c r="W99" s="920"/>
      <c r="X99" s="900"/>
      <c r="Y99" s="900"/>
      <c r="Z99" s="900"/>
    </row>
    <row r="100" spans="1:26">
      <c r="A100" s="900"/>
      <c r="B100" s="920"/>
      <c r="C100" s="920"/>
      <c r="D100" s="920"/>
      <c r="E100" s="920"/>
      <c r="F100" s="920"/>
      <c r="G100" s="920"/>
      <c r="V100" s="920"/>
      <c r="W100" s="920"/>
      <c r="X100" s="900"/>
      <c r="Y100" s="900"/>
      <c r="Z100" s="900"/>
    </row>
    <row r="101" spans="1:26">
      <c r="A101" s="900"/>
      <c r="B101" s="920"/>
      <c r="C101" s="920"/>
      <c r="D101" s="920"/>
      <c r="E101" s="920"/>
      <c r="F101" s="920"/>
      <c r="G101" s="920"/>
      <c r="V101" s="920"/>
      <c r="W101" s="920"/>
      <c r="X101" s="900"/>
      <c r="Y101" s="900"/>
      <c r="Z101" s="900"/>
    </row>
    <row r="102" spans="1:26">
      <c r="A102" s="900"/>
      <c r="B102" s="920"/>
      <c r="C102" s="920"/>
      <c r="D102" s="920"/>
      <c r="E102" s="920"/>
      <c r="F102" s="920"/>
      <c r="G102" s="920"/>
      <c r="V102" s="920"/>
      <c r="W102" s="920"/>
      <c r="X102" s="900"/>
      <c r="Y102" s="900"/>
      <c r="Z102" s="900"/>
    </row>
    <row r="103" spans="1:26">
      <c r="A103" s="900"/>
      <c r="B103" s="920"/>
      <c r="C103" s="920"/>
      <c r="D103" s="920"/>
      <c r="E103" s="920"/>
      <c r="F103" s="920"/>
      <c r="G103" s="920"/>
      <c r="V103" s="920"/>
      <c r="W103" s="920"/>
      <c r="X103" s="900"/>
      <c r="Y103" s="900"/>
      <c r="Z103" s="900"/>
    </row>
    <row r="104" spans="1:26">
      <c r="A104" s="900"/>
      <c r="B104" s="920"/>
      <c r="C104" s="920"/>
      <c r="D104" s="920"/>
      <c r="E104" s="920"/>
      <c r="F104" s="920"/>
      <c r="G104" s="920"/>
      <c r="V104" s="920"/>
      <c r="W104" s="920"/>
      <c r="X104" s="900"/>
      <c r="Y104" s="900"/>
      <c r="Z104" s="900"/>
    </row>
    <row r="105" spans="1:26">
      <c r="A105" s="900"/>
      <c r="B105" s="920"/>
      <c r="C105" s="920"/>
      <c r="D105" s="920"/>
      <c r="E105" s="920"/>
      <c r="F105" s="920"/>
      <c r="G105" s="920"/>
      <c r="V105" s="920"/>
      <c r="W105" s="920"/>
      <c r="X105" s="900"/>
      <c r="Y105" s="900"/>
      <c r="Z105" s="900"/>
    </row>
    <row r="106" spans="1:26">
      <c r="A106" s="900"/>
      <c r="B106" s="920"/>
      <c r="C106" s="920"/>
      <c r="D106" s="920"/>
      <c r="E106" s="920"/>
      <c r="F106" s="920"/>
      <c r="G106" s="920"/>
      <c r="V106" s="920"/>
      <c r="W106" s="920"/>
      <c r="X106" s="900"/>
      <c r="Y106" s="900"/>
      <c r="Z106" s="900"/>
    </row>
    <row r="107" spans="1:26">
      <c r="A107" s="900"/>
      <c r="B107" s="920"/>
      <c r="C107" s="920"/>
      <c r="D107" s="920"/>
      <c r="E107" s="920"/>
      <c r="F107" s="920"/>
      <c r="G107" s="920"/>
      <c r="V107" s="920"/>
      <c r="W107" s="920"/>
      <c r="X107" s="900"/>
      <c r="Y107" s="900"/>
      <c r="Z107" s="900"/>
    </row>
    <row r="108" spans="1:26">
      <c r="A108" s="900"/>
      <c r="B108" s="920"/>
      <c r="C108" s="920"/>
      <c r="D108" s="920"/>
      <c r="E108" s="920"/>
      <c r="F108" s="920"/>
      <c r="G108" s="920"/>
      <c r="V108" s="920"/>
      <c r="W108" s="920"/>
      <c r="X108" s="900"/>
      <c r="Y108" s="900"/>
      <c r="Z108" s="900"/>
    </row>
    <row r="109" spans="1:26">
      <c r="A109" s="900"/>
      <c r="B109" s="920"/>
      <c r="C109" s="920"/>
      <c r="D109" s="920"/>
      <c r="E109" s="920"/>
      <c r="F109" s="920"/>
      <c r="G109" s="920"/>
      <c r="V109" s="920"/>
      <c r="W109" s="920"/>
      <c r="X109" s="900"/>
      <c r="Y109" s="900"/>
      <c r="Z109" s="900"/>
    </row>
    <row r="110" spans="1:26">
      <c r="A110" s="900"/>
      <c r="B110" s="920"/>
      <c r="C110" s="920"/>
      <c r="D110" s="920"/>
      <c r="E110" s="920"/>
      <c r="F110" s="920"/>
      <c r="G110" s="920"/>
      <c r="V110" s="920"/>
      <c r="W110" s="920"/>
      <c r="X110" s="900"/>
      <c r="Y110" s="900"/>
      <c r="Z110" s="900"/>
    </row>
    <row r="111" spans="1:26">
      <c r="A111" s="900"/>
      <c r="B111" s="920"/>
      <c r="C111" s="920"/>
      <c r="D111" s="920"/>
      <c r="E111" s="920"/>
      <c r="F111" s="920"/>
      <c r="G111" s="920"/>
      <c r="V111" s="920"/>
      <c r="W111" s="920"/>
      <c r="X111" s="900"/>
      <c r="Y111" s="900"/>
      <c r="Z111" s="900"/>
    </row>
    <row r="112" spans="1:26">
      <c r="A112" s="900"/>
      <c r="B112" s="920"/>
      <c r="C112" s="920"/>
      <c r="D112" s="920"/>
      <c r="E112" s="920"/>
      <c r="F112" s="920"/>
      <c r="G112" s="920"/>
      <c r="V112" s="920"/>
      <c r="W112" s="920"/>
      <c r="X112" s="900"/>
      <c r="Y112" s="900"/>
      <c r="Z112" s="900"/>
    </row>
    <row r="113" spans="1:26">
      <c r="A113" s="900"/>
      <c r="B113" s="920"/>
      <c r="C113" s="920"/>
      <c r="D113" s="920"/>
      <c r="E113" s="920"/>
      <c r="F113" s="920"/>
      <c r="G113" s="920"/>
      <c r="V113" s="920"/>
      <c r="W113" s="920"/>
      <c r="X113" s="900"/>
      <c r="Y113" s="900"/>
      <c r="Z113" s="900"/>
    </row>
    <row r="114" spans="1:26">
      <c r="A114" s="900"/>
      <c r="B114" s="920"/>
      <c r="C114" s="920"/>
      <c r="D114" s="920"/>
      <c r="E114" s="920"/>
      <c r="F114" s="920"/>
      <c r="G114" s="920"/>
      <c r="V114" s="920"/>
      <c r="W114" s="920"/>
      <c r="X114" s="900"/>
      <c r="Y114" s="900"/>
      <c r="Z114" s="900"/>
    </row>
    <row r="115" spans="1:26">
      <c r="A115" s="900"/>
      <c r="B115" s="920"/>
      <c r="C115" s="920"/>
      <c r="D115" s="920"/>
      <c r="E115" s="920"/>
      <c r="F115" s="920"/>
      <c r="G115" s="920"/>
      <c r="V115" s="920"/>
      <c r="W115" s="920"/>
      <c r="X115" s="900"/>
      <c r="Y115" s="900"/>
      <c r="Z115" s="900"/>
    </row>
    <row r="116" spans="1:26">
      <c r="A116" s="900"/>
      <c r="B116" s="920"/>
      <c r="C116" s="920"/>
      <c r="D116" s="920"/>
      <c r="E116" s="920"/>
      <c r="F116" s="920"/>
      <c r="G116" s="920"/>
      <c r="V116" s="920"/>
      <c r="W116" s="920"/>
      <c r="X116" s="900"/>
      <c r="Y116" s="900"/>
      <c r="Z116" s="900"/>
    </row>
    <row r="117" spans="1:26">
      <c r="A117" s="900"/>
      <c r="B117" s="920"/>
      <c r="C117" s="920"/>
      <c r="D117" s="920"/>
      <c r="E117" s="920"/>
      <c r="F117" s="920"/>
      <c r="G117" s="920"/>
      <c r="V117" s="920"/>
      <c r="W117" s="920"/>
      <c r="X117" s="900"/>
      <c r="Y117" s="900"/>
      <c r="Z117" s="900"/>
    </row>
    <row r="118" spans="1:26">
      <c r="A118" s="900"/>
      <c r="B118" s="920"/>
      <c r="C118" s="920"/>
      <c r="D118" s="920"/>
      <c r="E118" s="920"/>
      <c r="F118" s="920"/>
      <c r="G118" s="920"/>
      <c r="V118" s="920"/>
      <c r="W118" s="920"/>
      <c r="X118" s="900"/>
      <c r="Y118" s="900"/>
      <c r="Z118" s="900"/>
    </row>
    <row r="119" spans="1:26">
      <c r="A119" s="900"/>
      <c r="B119" s="920"/>
      <c r="C119" s="920"/>
      <c r="D119" s="920"/>
      <c r="E119" s="920"/>
      <c r="F119" s="920"/>
      <c r="G119" s="920"/>
      <c r="V119" s="920"/>
      <c r="W119" s="920"/>
      <c r="X119" s="900"/>
      <c r="Y119" s="900"/>
      <c r="Z119" s="900"/>
    </row>
    <row r="120" spans="1:26">
      <c r="A120" s="900"/>
      <c r="B120" s="920"/>
      <c r="C120" s="920"/>
      <c r="D120" s="920"/>
      <c r="E120" s="920"/>
      <c r="F120" s="920"/>
      <c r="G120" s="920"/>
      <c r="V120" s="920"/>
      <c r="W120" s="920"/>
      <c r="X120" s="900"/>
      <c r="Y120" s="900"/>
      <c r="Z120" s="900"/>
    </row>
    <row r="121" spans="1:26">
      <c r="A121" s="900"/>
      <c r="B121" s="920"/>
      <c r="C121" s="920"/>
      <c r="D121" s="920"/>
      <c r="E121" s="920"/>
      <c r="F121" s="920"/>
      <c r="G121" s="920"/>
      <c r="V121" s="920"/>
      <c r="W121" s="920"/>
      <c r="X121" s="900"/>
      <c r="Y121" s="900"/>
      <c r="Z121" s="900"/>
    </row>
    <row r="122" spans="1:26">
      <c r="A122" s="900"/>
      <c r="B122" s="920"/>
      <c r="C122" s="920"/>
      <c r="D122" s="920"/>
      <c r="E122" s="920"/>
      <c r="F122" s="920"/>
      <c r="G122" s="920"/>
      <c r="V122" s="920"/>
      <c r="W122" s="920"/>
      <c r="X122" s="900"/>
      <c r="Y122" s="900"/>
      <c r="Z122" s="900"/>
    </row>
    <row r="123" spans="1:26">
      <c r="A123" s="900"/>
      <c r="B123" s="920"/>
      <c r="C123" s="920"/>
      <c r="D123" s="920"/>
      <c r="E123" s="920"/>
      <c r="F123" s="920"/>
      <c r="G123" s="920"/>
      <c r="V123" s="920"/>
      <c r="W123" s="920"/>
      <c r="X123" s="900"/>
      <c r="Y123" s="900"/>
      <c r="Z123" s="900"/>
    </row>
    <row r="124" spans="1:26">
      <c r="A124" s="900"/>
      <c r="B124" s="920"/>
      <c r="C124" s="920"/>
      <c r="D124" s="920"/>
      <c r="E124" s="920"/>
      <c r="F124" s="920"/>
      <c r="G124" s="920"/>
      <c r="V124" s="920"/>
      <c r="W124" s="920"/>
      <c r="X124" s="900"/>
      <c r="Y124" s="900"/>
      <c r="Z124" s="900"/>
    </row>
    <row r="125" spans="1:26">
      <c r="A125" s="900"/>
      <c r="B125" s="920"/>
      <c r="C125" s="920"/>
      <c r="D125" s="920"/>
      <c r="E125" s="920"/>
      <c r="F125" s="920"/>
      <c r="G125" s="920"/>
      <c r="V125" s="920"/>
      <c r="W125" s="920"/>
      <c r="X125" s="900"/>
      <c r="Y125" s="900"/>
      <c r="Z125" s="900"/>
    </row>
    <row r="126" spans="1:26">
      <c r="A126" s="900"/>
      <c r="B126" s="920"/>
      <c r="C126" s="920"/>
      <c r="D126" s="920"/>
      <c r="E126" s="920"/>
      <c r="F126" s="920"/>
      <c r="G126" s="920"/>
      <c r="V126" s="920"/>
      <c r="W126" s="920"/>
      <c r="X126" s="900"/>
      <c r="Y126" s="900"/>
      <c r="Z126" s="900"/>
    </row>
    <row r="127" spans="1:26">
      <c r="A127" s="900"/>
      <c r="B127" s="920"/>
      <c r="C127" s="920"/>
      <c r="D127" s="920"/>
      <c r="E127" s="920"/>
      <c r="F127" s="920"/>
      <c r="G127" s="920"/>
      <c r="V127" s="920"/>
      <c r="W127" s="920"/>
      <c r="X127" s="900"/>
      <c r="Y127" s="900"/>
      <c r="Z127" s="900"/>
    </row>
    <row r="128" spans="1:26">
      <c r="A128" s="900"/>
      <c r="B128" s="920"/>
      <c r="C128" s="920"/>
      <c r="D128" s="920"/>
      <c r="E128" s="920"/>
      <c r="F128" s="920"/>
      <c r="G128" s="920"/>
      <c r="V128" s="920"/>
      <c r="W128" s="920"/>
      <c r="X128" s="900"/>
      <c r="Y128" s="900"/>
      <c r="Z128" s="900"/>
    </row>
    <row r="129" spans="1:26">
      <c r="A129" s="900"/>
      <c r="B129" s="920"/>
      <c r="C129" s="920"/>
      <c r="D129" s="920"/>
      <c r="E129" s="920"/>
      <c r="F129" s="920"/>
      <c r="G129" s="920"/>
      <c r="V129" s="920"/>
      <c r="W129" s="920"/>
      <c r="X129" s="900"/>
      <c r="Y129" s="900"/>
      <c r="Z129" s="900"/>
    </row>
    <row r="130" spans="1:26">
      <c r="A130" s="900"/>
      <c r="B130" s="920"/>
      <c r="C130" s="920"/>
      <c r="D130" s="920"/>
      <c r="E130" s="920"/>
      <c r="F130" s="920"/>
      <c r="G130" s="920"/>
      <c r="V130" s="920"/>
      <c r="W130" s="920"/>
      <c r="X130" s="900"/>
      <c r="Y130" s="900"/>
      <c r="Z130" s="900"/>
    </row>
    <row r="131" spans="1:26">
      <c r="A131" s="900"/>
      <c r="B131" s="920"/>
      <c r="C131" s="920"/>
      <c r="D131" s="920"/>
      <c r="E131" s="920"/>
      <c r="F131" s="920"/>
      <c r="G131" s="920"/>
      <c r="V131" s="920"/>
      <c r="W131" s="920"/>
      <c r="X131" s="900"/>
      <c r="Y131" s="900"/>
      <c r="Z131" s="900"/>
    </row>
    <row r="132" spans="1:26">
      <c r="A132" s="900"/>
      <c r="B132" s="920"/>
      <c r="C132" s="920"/>
      <c r="D132" s="920"/>
      <c r="E132" s="920"/>
      <c r="F132" s="920"/>
      <c r="G132" s="920"/>
      <c r="V132" s="920"/>
      <c r="W132" s="920"/>
      <c r="X132" s="900"/>
      <c r="Y132" s="900"/>
      <c r="Z132" s="900"/>
    </row>
    <row r="133" spans="1:26">
      <c r="A133" s="900"/>
      <c r="B133" s="920"/>
      <c r="C133" s="920"/>
      <c r="D133" s="920"/>
      <c r="E133" s="920"/>
      <c r="F133" s="920"/>
      <c r="G133" s="920"/>
      <c r="V133" s="920"/>
      <c r="W133" s="920"/>
      <c r="X133" s="900"/>
      <c r="Y133" s="900"/>
      <c r="Z133" s="900"/>
    </row>
    <row r="134" spans="1:26">
      <c r="A134" s="900"/>
      <c r="B134" s="920"/>
      <c r="C134" s="920"/>
      <c r="D134" s="920"/>
      <c r="E134" s="920"/>
      <c r="F134" s="920"/>
      <c r="G134" s="920"/>
      <c r="V134" s="920"/>
      <c r="W134" s="920"/>
      <c r="X134" s="900"/>
      <c r="Y134" s="900"/>
      <c r="Z134" s="900"/>
    </row>
    <row r="135" spans="1:26">
      <c r="A135" s="900"/>
      <c r="B135" s="920"/>
      <c r="C135" s="920"/>
      <c r="D135" s="920"/>
      <c r="E135" s="920"/>
      <c r="F135" s="920"/>
      <c r="G135" s="920"/>
      <c r="V135" s="920"/>
      <c r="W135" s="920"/>
      <c r="X135" s="900"/>
      <c r="Y135" s="900"/>
      <c r="Z135" s="900"/>
    </row>
    <row r="136" spans="1:26">
      <c r="A136" s="900"/>
      <c r="B136" s="920"/>
      <c r="C136" s="920"/>
      <c r="D136" s="920"/>
      <c r="E136" s="920"/>
      <c r="F136" s="920"/>
      <c r="G136" s="920"/>
      <c r="V136" s="920"/>
      <c r="W136" s="920"/>
      <c r="X136" s="900"/>
      <c r="Y136" s="900"/>
      <c r="Z136" s="900"/>
    </row>
    <row r="137" spans="1:26">
      <c r="A137" s="900"/>
      <c r="B137" s="920"/>
      <c r="C137" s="920"/>
      <c r="D137" s="920"/>
      <c r="E137" s="920"/>
      <c r="F137" s="920"/>
      <c r="G137" s="920"/>
      <c r="V137" s="920"/>
      <c r="W137" s="920"/>
      <c r="X137" s="900"/>
      <c r="Y137" s="900"/>
      <c r="Z137" s="900"/>
    </row>
    <row r="138" spans="1:26">
      <c r="A138" s="900"/>
      <c r="B138" s="920"/>
      <c r="C138" s="920"/>
      <c r="D138" s="920"/>
      <c r="E138" s="920"/>
      <c r="F138" s="920"/>
      <c r="G138" s="920"/>
      <c r="V138" s="920"/>
      <c r="W138" s="920"/>
      <c r="X138" s="900"/>
      <c r="Y138" s="900"/>
      <c r="Z138" s="900"/>
    </row>
    <row r="139" spans="1:26">
      <c r="A139" s="900"/>
      <c r="B139" s="920"/>
      <c r="C139" s="920"/>
      <c r="D139" s="920"/>
      <c r="E139" s="920"/>
      <c r="F139" s="920"/>
      <c r="G139" s="920"/>
      <c r="V139" s="920"/>
      <c r="W139" s="920"/>
      <c r="X139" s="900"/>
      <c r="Y139" s="900"/>
      <c r="Z139" s="900"/>
    </row>
    <row r="140" spans="1:26">
      <c r="A140" s="900"/>
      <c r="B140" s="920"/>
      <c r="C140" s="920"/>
      <c r="D140" s="920"/>
      <c r="E140" s="920"/>
      <c r="F140" s="920"/>
      <c r="G140" s="920"/>
      <c r="V140" s="920"/>
      <c r="W140" s="920"/>
      <c r="X140" s="900"/>
      <c r="Y140" s="900"/>
      <c r="Z140" s="900"/>
    </row>
    <row r="141" spans="1:26">
      <c r="A141" s="900"/>
      <c r="B141" s="920"/>
      <c r="C141" s="920"/>
      <c r="D141" s="920"/>
      <c r="E141" s="920"/>
      <c r="F141" s="920"/>
      <c r="G141" s="920"/>
      <c r="V141" s="920"/>
      <c r="W141" s="920"/>
      <c r="X141" s="900"/>
      <c r="Y141" s="900"/>
      <c r="Z141" s="900"/>
    </row>
    <row r="142" spans="1:26">
      <c r="A142" s="900"/>
      <c r="B142" s="920"/>
      <c r="C142" s="920"/>
      <c r="D142" s="920"/>
      <c r="E142" s="920"/>
      <c r="F142" s="920"/>
      <c r="G142" s="920"/>
      <c r="V142" s="920"/>
      <c r="W142" s="920"/>
      <c r="X142" s="900"/>
      <c r="Y142" s="900"/>
      <c r="Z142" s="900"/>
    </row>
    <row r="143" spans="1:26">
      <c r="A143" s="900"/>
      <c r="B143" s="920"/>
      <c r="C143" s="920"/>
      <c r="D143" s="920"/>
      <c r="E143" s="920"/>
      <c r="F143" s="920"/>
      <c r="G143" s="920"/>
      <c r="V143" s="920"/>
      <c r="W143" s="920"/>
      <c r="X143" s="900"/>
      <c r="Y143" s="900"/>
      <c r="Z143" s="900"/>
    </row>
    <row r="144" spans="1:26">
      <c r="A144" s="900"/>
      <c r="B144" s="920"/>
      <c r="C144" s="920"/>
      <c r="D144" s="920"/>
      <c r="E144" s="920"/>
      <c r="F144" s="920"/>
      <c r="G144" s="920"/>
      <c r="V144" s="920"/>
      <c r="W144" s="920"/>
      <c r="X144" s="900"/>
      <c r="Y144" s="900"/>
      <c r="Z144" s="900"/>
    </row>
    <row r="145" spans="1:26">
      <c r="A145" s="900"/>
      <c r="B145" s="920"/>
      <c r="C145" s="920"/>
      <c r="D145" s="920"/>
      <c r="E145" s="920"/>
      <c r="F145" s="920"/>
      <c r="G145" s="920"/>
      <c r="V145" s="920"/>
      <c r="W145" s="920"/>
      <c r="X145" s="900"/>
      <c r="Y145" s="900"/>
      <c r="Z145" s="900"/>
    </row>
    <row r="146" spans="1:26">
      <c r="A146" s="900"/>
      <c r="B146" s="920"/>
      <c r="C146" s="920"/>
      <c r="D146" s="920"/>
      <c r="E146" s="920"/>
      <c r="F146" s="920"/>
      <c r="G146" s="920"/>
      <c r="V146" s="920"/>
      <c r="W146" s="920"/>
      <c r="X146" s="900"/>
      <c r="Y146" s="900"/>
      <c r="Z146" s="900"/>
    </row>
    <row r="147" spans="1:26">
      <c r="A147" s="900"/>
      <c r="B147" s="920"/>
      <c r="C147" s="920"/>
      <c r="D147" s="920"/>
      <c r="E147" s="920"/>
      <c r="F147" s="920"/>
      <c r="G147" s="920"/>
      <c r="V147" s="920"/>
      <c r="W147" s="920"/>
      <c r="X147" s="900"/>
      <c r="Y147" s="900"/>
      <c r="Z147" s="900"/>
    </row>
    <row r="148" spans="1:26">
      <c r="A148" s="900"/>
      <c r="B148" s="920"/>
      <c r="C148" s="920"/>
      <c r="D148" s="920"/>
      <c r="E148" s="920"/>
      <c r="F148" s="920"/>
      <c r="G148" s="920"/>
      <c r="V148" s="920"/>
      <c r="W148" s="920"/>
      <c r="X148" s="900"/>
      <c r="Y148" s="900"/>
      <c r="Z148" s="900"/>
    </row>
    <row r="149" spans="1:26">
      <c r="A149" s="900"/>
      <c r="B149" s="920"/>
      <c r="C149" s="920"/>
      <c r="D149" s="920"/>
      <c r="E149" s="920"/>
      <c r="F149" s="920"/>
      <c r="G149" s="920"/>
      <c r="V149" s="920"/>
      <c r="W149" s="920"/>
      <c r="X149" s="900"/>
      <c r="Y149" s="900"/>
      <c r="Z149" s="900"/>
    </row>
    <row r="150" spans="1:26">
      <c r="A150" s="900"/>
      <c r="B150" s="920"/>
      <c r="C150" s="920"/>
      <c r="D150" s="920"/>
      <c r="E150" s="920"/>
      <c r="F150" s="920"/>
      <c r="G150" s="920"/>
      <c r="V150" s="920"/>
      <c r="W150" s="920"/>
      <c r="X150" s="900"/>
      <c r="Y150" s="900"/>
      <c r="Z150" s="900"/>
    </row>
    <row r="151" spans="1:26">
      <c r="A151" s="900"/>
      <c r="B151" s="920"/>
      <c r="C151" s="920"/>
      <c r="D151" s="920"/>
      <c r="E151" s="920"/>
      <c r="F151" s="920"/>
      <c r="G151" s="920"/>
      <c r="V151" s="920"/>
      <c r="W151" s="920"/>
      <c r="X151" s="900"/>
      <c r="Y151" s="900"/>
      <c r="Z151" s="900"/>
    </row>
    <row r="152" spans="1:26">
      <c r="A152" s="900"/>
      <c r="B152" s="920"/>
      <c r="C152" s="920"/>
      <c r="D152" s="920"/>
      <c r="E152" s="920"/>
      <c r="F152" s="920"/>
      <c r="G152" s="920"/>
      <c r="V152" s="920"/>
      <c r="W152" s="920"/>
      <c r="X152" s="900"/>
      <c r="Y152" s="900"/>
      <c r="Z152" s="900"/>
    </row>
    <row r="153" spans="1:26">
      <c r="A153" s="900"/>
      <c r="B153" s="920"/>
      <c r="C153" s="920"/>
      <c r="D153" s="920"/>
      <c r="E153" s="920"/>
      <c r="F153" s="920"/>
      <c r="G153" s="920"/>
      <c r="V153" s="920"/>
      <c r="W153" s="920"/>
      <c r="X153" s="900"/>
      <c r="Y153" s="900"/>
      <c r="Z153" s="900"/>
    </row>
    <row r="154" spans="1:26">
      <c r="A154" s="900"/>
      <c r="B154" s="920"/>
      <c r="C154" s="920"/>
      <c r="D154" s="920"/>
      <c r="E154" s="920"/>
      <c r="F154" s="920"/>
      <c r="G154" s="920"/>
      <c r="V154" s="920"/>
      <c r="W154" s="920"/>
      <c r="X154" s="900"/>
      <c r="Y154" s="900"/>
      <c r="Z154" s="900"/>
    </row>
    <row r="155" spans="1:26">
      <c r="A155" s="900"/>
      <c r="B155" s="920"/>
      <c r="C155" s="920"/>
      <c r="D155" s="920"/>
      <c r="E155" s="920"/>
      <c r="F155" s="920"/>
      <c r="G155" s="920"/>
      <c r="V155" s="920"/>
      <c r="W155" s="920"/>
      <c r="X155" s="900"/>
      <c r="Y155" s="900"/>
      <c r="Z155" s="900"/>
    </row>
    <row r="156" spans="1:26">
      <c r="A156" s="900"/>
      <c r="B156" s="920"/>
      <c r="C156" s="920"/>
      <c r="D156" s="920"/>
      <c r="E156" s="920"/>
      <c r="F156" s="920"/>
      <c r="G156" s="920"/>
      <c r="V156" s="920"/>
      <c r="W156" s="920"/>
      <c r="X156" s="900"/>
      <c r="Y156" s="900"/>
      <c r="Z156" s="900"/>
    </row>
    <row r="157" spans="1:26">
      <c r="A157" s="900"/>
      <c r="B157" s="920"/>
      <c r="C157" s="920"/>
      <c r="D157" s="920"/>
      <c r="E157" s="920"/>
      <c r="F157" s="920"/>
      <c r="G157" s="920"/>
      <c r="V157" s="920"/>
      <c r="W157" s="920"/>
      <c r="X157" s="900"/>
      <c r="Y157" s="900"/>
      <c r="Z157" s="900"/>
    </row>
    <row r="158" spans="1:26">
      <c r="A158" s="900"/>
      <c r="B158" s="920"/>
      <c r="C158" s="920"/>
      <c r="D158" s="920"/>
      <c r="E158" s="920"/>
      <c r="F158" s="920"/>
      <c r="G158" s="920"/>
      <c r="V158" s="920"/>
      <c r="W158" s="920"/>
      <c r="X158" s="900"/>
      <c r="Y158" s="900"/>
      <c r="Z158" s="900"/>
    </row>
    <row r="159" spans="1:26">
      <c r="A159" s="900"/>
      <c r="B159" s="920"/>
      <c r="C159" s="920"/>
      <c r="D159" s="920"/>
      <c r="E159" s="920"/>
      <c r="F159" s="920"/>
      <c r="G159" s="920"/>
      <c r="V159" s="920"/>
      <c r="W159" s="920"/>
      <c r="X159" s="900"/>
      <c r="Y159" s="900"/>
      <c r="Z159" s="900"/>
    </row>
    <row r="160" spans="1:26">
      <c r="A160" s="900"/>
      <c r="B160" s="920"/>
      <c r="C160" s="920"/>
      <c r="D160" s="920"/>
      <c r="E160" s="920"/>
      <c r="F160" s="920"/>
      <c r="G160" s="920"/>
      <c r="V160" s="920"/>
      <c r="W160" s="920"/>
      <c r="X160" s="900"/>
      <c r="Y160" s="900"/>
      <c r="Z160" s="900"/>
    </row>
    <row r="161" spans="1:26">
      <c r="A161" s="900"/>
      <c r="B161" s="920"/>
      <c r="C161" s="920"/>
      <c r="D161" s="920"/>
      <c r="E161" s="920"/>
      <c r="F161" s="920"/>
      <c r="G161" s="920"/>
      <c r="V161" s="920"/>
      <c r="W161" s="920"/>
      <c r="X161" s="900"/>
      <c r="Y161" s="900"/>
      <c r="Z161" s="900"/>
    </row>
    <row r="162" spans="1:26">
      <c r="A162" s="900"/>
      <c r="B162" s="920"/>
      <c r="C162" s="920"/>
      <c r="D162" s="920"/>
      <c r="E162" s="920"/>
      <c r="F162" s="920"/>
      <c r="G162" s="920"/>
      <c r="V162" s="920"/>
      <c r="W162" s="920"/>
      <c r="X162" s="900"/>
      <c r="Y162" s="900"/>
      <c r="Z162" s="900"/>
    </row>
    <row r="163" spans="1:26">
      <c r="A163" s="900"/>
      <c r="B163" s="920"/>
      <c r="C163" s="920"/>
      <c r="D163" s="920"/>
      <c r="E163" s="920"/>
      <c r="F163" s="920"/>
      <c r="G163" s="920"/>
      <c r="V163" s="920"/>
      <c r="W163" s="920"/>
      <c r="X163" s="900"/>
      <c r="Y163" s="900"/>
      <c r="Z163" s="900"/>
    </row>
    <row r="164" spans="1:26">
      <c r="A164" s="900"/>
      <c r="B164" s="920"/>
      <c r="C164" s="920"/>
      <c r="D164" s="920"/>
      <c r="E164" s="920"/>
      <c r="F164" s="920"/>
      <c r="G164" s="920"/>
      <c r="V164" s="920"/>
      <c r="W164" s="920"/>
      <c r="X164" s="900"/>
      <c r="Y164" s="900"/>
      <c r="Z164" s="900"/>
    </row>
    <row r="165" spans="1:26">
      <c r="A165" s="900"/>
      <c r="B165" s="920"/>
      <c r="C165" s="920"/>
      <c r="D165" s="920"/>
      <c r="E165" s="920"/>
      <c r="F165" s="920"/>
      <c r="G165" s="920"/>
      <c r="V165" s="920"/>
      <c r="W165" s="920"/>
      <c r="X165" s="900"/>
      <c r="Y165" s="900"/>
      <c r="Z165" s="900"/>
    </row>
    <row r="166" spans="1:26">
      <c r="A166" s="900"/>
      <c r="B166" s="920"/>
      <c r="C166" s="920"/>
      <c r="D166" s="920"/>
      <c r="E166" s="920"/>
      <c r="F166" s="920"/>
      <c r="G166" s="920"/>
      <c r="V166" s="920"/>
      <c r="W166" s="920"/>
      <c r="X166" s="900"/>
      <c r="Y166" s="900"/>
      <c r="Z166" s="900"/>
    </row>
    <row r="167" spans="1:26">
      <c r="A167" s="900"/>
      <c r="B167" s="920"/>
      <c r="C167" s="920"/>
      <c r="D167" s="920"/>
      <c r="E167" s="920"/>
      <c r="F167" s="920"/>
      <c r="G167" s="920"/>
      <c r="V167" s="920"/>
      <c r="W167" s="920"/>
      <c r="X167" s="900"/>
      <c r="Y167" s="900"/>
      <c r="Z167" s="900"/>
    </row>
    <row r="168" spans="1:26">
      <c r="A168" s="900"/>
      <c r="B168" s="920"/>
      <c r="C168" s="920"/>
      <c r="D168" s="920"/>
      <c r="E168" s="920"/>
      <c r="F168" s="920"/>
      <c r="G168" s="920"/>
      <c r="V168" s="920"/>
      <c r="W168" s="920"/>
      <c r="X168" s="900"/>
      <c r="Y168" s="900"/>
      <c r="Z168" s="900"/>
    </row>
    <row r="169" spans="1:26">
      <c r="A169" s="900"/>
      <c r="B169" s="920"/>
      <c r="C169" s="920"/>
      <c r="D169" s="920"/>
      <c r="E169" s="920"/>
      <c r="F169" s="920"/>
      <c r="G169" s="920"/>
      <c r="V169" s="920"/>
      <c r="W169" s="920"/>
      <c r="X169" s="900"/>
      <c r="Y169" s="900"/>
      <c r="Z169" s="900"/>
    </row>
    <row r="170" spans="1:26">
      <c r="A170" s="900"/>
      <c r="B170" s="920"/>
      <c r="C170" s="920"/>
      <c r="D170" s="920"/>
      <c r="E170" s="920"/>
      <c r="F170" s="920"/>
      <c r="G170" s="920"/>
      <c r="V170" s="920"/>
      <c r="W170" s="920"/>
      <c r="X170" s="900"/>
      <c r="Y170" s="900"/>
      <c r="Z170" s="900"/>
    </row>
    <row r="171" spans="1:26">
      <c r="A171" s="900"/>
      <c r="B171" s="920"/>
      <c r="C171" s="920"/>
      <c r="D171" s="920"/>
      <c r="E171" s="920"/>
      <c r="F171" s="920"/>
      <c r="G171" s="920"/>
      <c r="V171" s="920"/>
      <c r="W171" s="920"/>
      <c r="X171" s="900"/>
      <c r="Y171" s="900"/>
      <c r="Z171" s="900"/>
    </row>
    <row r="172" spans="1:26">
      <c r="A172" s="900"/>
      <c r="B172" s="920"/>
      <c r="C172" s="920"/>
      <c r="D172" s="920"/>
      <c r="E172" s="920"/>
      <c r="F172" s="920"/>
      <c r="G172" s="920"/>
      <c r="V172" s="920"/>
      <c r="W172" s="920"/>
      <c r="X172" s="900"/>
      <c r="Y172" s="900"/>
      <c r="Z172" s="900"/>
    </row>
    <row r="173" spans="1:26">
      <c r="A173" s="900"/>
      <c r="B173" s="920"/>
      <c r="C173" s="920"/>
      <c r="D173" s="920"/>
      <c r="E173" s="920"/>
      <c r="F173" s="920"/>
      <c r="G173" s="920"/>
      <c r="V173" s="920"/>
      <c r="W173" s="920"/>
      <c r="X173" s="900"/>
      <c r="Y173" s="900"/>
      <c r="Z173" s="900"/>
    </row>
    <row r="174" spans="1:26">
      <c r="A174" s="900"/>
      <c r="B174" s="920"/>
      <c r="C174" s="920"/>
      <c r="D174" s="920"/>
      <c r="E174" s="920"/>
      <c r="F174" s="920"/>
      <c r="G174" s="920"/>
      <c r="V174" s="920"/>
      <c r="W174" s="920"/>
      <c r="X174" s="900"/>
      <c r="Y174" s="900"/>
      <c r="Z174" s="900"/>
    </row>
    <row r="175" spans="1:26">
      <c r="A175" s="900"/>
      <c r="B175" s="920"/>
      <c r="C175" s="920"/>
      <c r="D175" s="920"/>
      <c r="E175" s="920"/>
      <c r="F175" s="920"/>
      <c r="G175" s="920"/>
      <c r="V175" s="920"/>
      <c r="W175" s="920"/>
      <c r="X175" s="900"/>
      <c r="Y175" s="900"/>
      <c r="Z175" s="900"/>
    </row>
    <row r="176" spans="1:26">
      <c r="A176" s="900"/>
      <c r="B176" s="920"/>
      <c r="C176" s="920"/>
      <c r="D176" s="920"/>
      <c r="E176" s="920"/>
      <c r="F176" s="920"/>
      <c r="G176" s="920"/>
      <c r="V176" s="920"/>
      <c r="W176" s="920"/>
      <c r="X176" s="900"/>
      <c r="Y176" s="900"/>
      <c r="Z176" s="900"/>
    </row>
    <row r="177" spans="1:26">
      <c r="A177" s="900"/>
      <c r="B177" s="920"/>
      <c r="C177" s="920"/>
      <c r="D177" s="920"/>
      <c r="E177" s="920"/>
      <c r="F177" s="920"/>
      <c r="G177" s="920"/>
      <c r="V177" s="920"/>
      <c r="W177" s="920"/>
      <c r="X177" s="900"/>
      <c r="Y177" s="900"/>
      <c r="Z177" s="900"/>
    </row>
    <row r="178" spans="1:26">
      <c r="A178" s="900"/>
      <c r="B178" s="920"/>
      <c r="C178" s="920"/>
      <c r="D178" s="920"/>
      <c r="E178" s="920"/>
      <c r="F178" s="920"/>
      <c r="G178" s="920"/>
      <c r="V178" s="920"/>
      <c r="W178" s="920"/>
      <c r="X178" s="900"/>
      <c r="Y178" s="900"/>
      <c r="Z178" s="900"/>
    </row>
    <row r="179" spans="1:26">
      <c r="A179" s="900"/>
      <c r="B179" s="920"/>
      <c r="C179" s="920"/>
      <c r="D179" s="920"/>
      <c r="E179" s="920"/>
      <c r="F179" s="920"/>
      <c r="G179" s="920"/>
      <c r="V179" s="920"/>
      <c r="W179" s="920"/>
      <c r="X179" s="900"/>
      <c r="Y179" s="900"/>
      <c r="Z179" s="900"/>
    </row>
    <row r="180" spans="1:26">
      <c r="A180" s="900"/>
      <c r="B180" s="920"/>
      <c r="C180" s="920"/>
      <c r="D180" s="920"/>
      <c r="E180" s="920"/>
      <c r="F180" s="920"/>
      <c r="G180" s="920"/>
      <c r="V180" s="920"/>
      <c r="W180" s="920"/>
      <c r="X180" s="900"/>
      <c r="Y180" s="900"/>
      <c r="Z180" s="900"/>
    </row>
    <row r="181" spans="1:26">
      <c r="A181" s="900"/>
      <c r="B181" s="920"/>
      <c r="C181" s="920"/>
      <c r="D181" s="920"/>
      <c r="E181" s="920"/>
      <c r="F181" s="920"/>
      <c r="G181" s="920"/>
      <c r="V181" s="920"/>
      <c r="W181" s="920"/>
      <c r="X181" s="900"/>
      <c r="Y181" s="900"/>
      <c r="Z181" s="900"/>
    </row>
    <row r="182" spans="1:26">
      <c r="A182" s="900"/>
      <c r="B182" s="920"/>
      <c r="C182" s="920"/>
      <c r="D182" s="920"/>
      <c r="E182" s="920"/>
      <c r="F182" s="920"/>
      <c r="G182" s="920"/>
      <c r="V182" s="920"/>
      <c r="W182" s="920"/>
      <c r="X182" s="900"/>
      <c r="Y182" s="900"/>
      <c r="Z182" s="900"/>
    </row>
    <row r="183" spans="1:26">
      <c r="A183" s="900"/>
      <c r="B183" s="920"/>
      <c r="C183" s="920"/>
      <c r="D183" s="920"/>
      <c r="E183" s="920"/>
      <c r="F183" s="920"/>
      <c r="G183" s="920"/>
      <c r="V183" s="920"/>
      <c r="W183" s="920"/>
      <c r="X183" s="900"/>
      <c r="Y183" s="900"/>
      <c r="Z183" s="900"/>
    </row>
    <row r="184" spans="1:26">
      <c r="A184" s="900"/>
      <c r="B184" s="920"/>
      <c r="C184" s="920"/>
      <c r="D184" s="920"/>
      <c r="E184" s="920"/>
      <c r="F184" s="920"/>
      <c r="G184" s="920"/>
      <c r="V184" s="920"/>
      <c r="W184" s="920"/>
      <c r="X184" s="900"/>
      <c r="Y184" s="900"/>
      <c r="Z184" s="900"/>
    </row>
    <row r="185" spans="1:26">
      <c r="A185" s="900"/>
      <c r="B185" s="920"/>
      <c r="C185" s="920"/>
      <c r="D185" s="920"/>
      <c r="E185" s="920"/>
      <c r="F185" s="920"/>
      <c r="G185" s="920"/>
      <c r="V185" s="920"/>
      <c r="W185" s="920"/>
      <c r="X185" s="900"/>
      <c r="Y185" s="900"/>
      <c r="Z185" s="900"/>
    </row>
    <row r="186" spans="1:26">
      <c r="A186" s="900"/>
      <c r="B186" s="920"/>
      <c r="C186" s="920"/>
      <c r="D186" s="920"/>
      <c r="E186" s="920"/>
      <c r="F186" s="920"/>
      <c r="G186" s="920"/>
      <c r="V186" s="920"/>
      <c r="W186" s="920"/>
      <c r="X186" s="900"/>
      <c r="Y186" s="900"/>
      <c r="Z186" s="900"/>
    </row>
    <row r="187" spans="1:26">
      <c r="A187" s="900"/>
      <c r="B187" s="920"/>
      <c r="C187" s="920"/>
      <c r="D187" s="920"/>
      <c r="E187" s="920"/>
      <c r="F187" s="920"/>
      <c r="G187" s="920"/>
      <c r="V187" s="920"/>
      <c r="W187" s="920"/>
      <c r="X187" s="900"/>
      <c r="Y187" s="900"/>
      <c r="Z187" s="900"/>
    </row>
    <row r="188" spans="1:26">
      <c r="A188" s="900"/>
      <c r="B188" s="920"/>
      <c r="C188" s="920"/>
      <c r="D188" s="920"/>
      <c r="E188" s="920"/>
      <c r="F188" s="920"/>
      <c r="G188" s="920"/>
      <c r="V188" s="920"/>
      <c r="W188" s="920"/>
      <c r="X188" s="900"/>
      <c r="Y188" s="900"/>
      <c r="Z188" s="900"/>
    </row>
    <row r="189" spans="1:26">
      <c r="A189" s="900"/>
      <c r="B189" s="920"/>
      <c r="C189" s="920"/>
      <c r="D189" s="920"/>
      <c r="E189" s="920"/>
      <c r="F189" s="920"/>
      <c r="G189" s="920"/>
      <c r="V189" s="920"/>
      <c r="W189" s="920"/>
      <c r="X189" s="900"/>
      <c r="Y189" s="900"/>
      <c r="Z189" s="900"/>
    </row>
    <row r="190" spans="1:26">
      <c r="A190" s="900"/>
      <c r="B190" s="920"/>
      <c r="C190" s="920"/>
      <c r="D190" s="920"/>
      <c r="E190" s="920"/>
      <c r="F190" s="920"/>
      <c r="G190" s="920"/>
      <c r="V190" s="920"/>
      <c r="W190" s="920"/>
      <c r="X190" s="900"/>
      <c r="Y190" s="900"/>
      <c r="Z190" s="900"/>
    </row>
    <row r="191" spans="1:26">
      <c r="A191" s="900"/>
      <c r="B191" s="920"/>
      <c r="C191" s="920"/>
      <c r="D191" s="920"/>
      <c r="E191" s="920"/>
      <c r="F191" s="920"/>
      <c r="G191" s="920"/>
      <c r="V191" s="920"/>
      <c r="W191" s="920"/>
      <c r="X191" s="900"/>
      <c r="Y191" s="900"/>
      <c r="Z191" s="900"/>
    </row>
    <row r="192" spans="1:26">
      <c r="A192" s="900"/>
      <c r="B192" s="920"/>
      <c r="C192" s="920"/>
      <c r="D192" s="920"/>
      <c r="E192" s="920"/>
      <c r="F192" s="920"/>
      <c r="G192" s="920"/>
      <c r="V192" s="920"/>
      <c r="W192" s="920"/>
      <c r="X192" s="900"/>
      <c r="Y192" s="900"/>
      <c r="Z192" s="900"/>
    </row>
    <row r="193" spans="1:26">
      <c r="A193" s="900"/>
      <c r="B193" s="920"/>
      <c r="C193" s="920"/>
      <c r="D193" s="920"/>
      <c r="E193" s="920"/>
      <c r="F193" s="920"/>
      <c r="G193" s="920"/>
      <c r="V193" s="920"/>
      <c r="W193" s="920"/>
      <c r="X193" s="900"/>
      <c r="Y193" s="900"/>
      <c r="Z193" s="900"/>
    </row>
    <row r="194" spans="1:26">
      <c r="A194" s="900"/>
      <c r="B194" s="920"/>
      <c r="C194" s="920"/>
      <c r="D194" s="920"/>
      <c r="E194" s="920"/>
      <c r="F194" s="920"/>
      <c r="G194" s="920"/>
      <c r="V194" s="920"/>
      <c r="W194" s="920"/>
      <c r="X194" s="900"/>
      <c r="Y194" s="900"/>
      <c r="Z194" s="900"/>
    </row>
    <row r="195" spans="1:26">
      <c r="A195" s="900"/>
      <c r="B195" s="920"/>
      <c r="C195" s="920"/>
      <c r="D195" s="920"/>
      <c r="E195" s="920"/>
      <c r="F195" s="920"/>
      <c r="G195" s="920"/>
      <c r="V195" s="920"/>
      <c r="W195" s="920"/>
      <c r="X195" s="900"/>
      <c r="Y195" s="900"/>
      <c r="Z195" s="900"/>
    </row>
    <row r="196" spans="1:26">
      <c r="A196" s="900"/>
      <c r="B196" s="920"/>
      <c r="C196" s="920"/>
      <c r="D196" s="920"/>
      <c r="E196" s="920"/>
      <c r="F196" s="920"/>
      <c r="G196" s="920"/>
      <c r="V196" s="920"/>
      <c r="W196" s="920"/>
      <c r="X196" s="900"/>
      <c r="Y196" s="900"/>
      <c r="Z196" s="900"/>
    </row>
    <row r="197" spans="1:26">
      <c r="A197" s="900"/>
      <c r="B197" s="920"/>
      <c r="C197" s="920"/>
      <c r="D197" s="920"/>
      <c r="E197" s="920"/>
      <c r="F197" s="920"/>
      <c r="G197" s="920"/>
      <c r="V197" s="920"/>
      <c r="W197" s="920"/>
      <c r="X197" s="900"/>
      <c r="Y197" s="900"/>
      <c r="Z197" s="900"/>
    </row>
    <row r="198" spans="1:26">
      <c r="A198" s="900"/>
      <c r="B198" s="920"/>
      <c r="C198" s="920"/>
      <c r="D198" s="920"/>
      <c r="E198" s="920"/>
      <c r="F198" s="920"/>
      <c r="G198" s="920"/>
      <c r="V198" s="920"/>
      <c r="W198" s="920"/>
      <c r="X198" s="900"/>
      <c r="Y198" s="900"/>
      <c r="Z198" s="900"/>
    </row>
    <row r="199" spans="1:26">
      <c r="A199" s="900"/>
      <c r="B199" s="920"/>
      <c r="C199" s="920"/>
      <c r="D199" s="920"/>
      <c r="E199" s="920"/>
      <c r="F199" s="920"/>
      <c r="G199" s="920"/>
      <c r="V199" s="920"/>
      <c r="W199" s="920"/>
      <c r="X199" s="900"/>
      <c r="Y199" s="900"/>
      <c r="Z199" s="900"/>
    </row>
    <row r="200" spans="1:26">
      <c r="A200" s="900"/>
      <c r="B200" s="920"/>
      <c r="C200" s="920"/>
      <c r="D200" s="920"/>
      <c r="E200" s="920"/>
      <c r="F200" s="920"/>
      <c r="G200" s="920"/>
      <c r="V200" s="920"/>
      <c r="W200" s="920"/>
      <c r="X200" s="900"/>
      <c r="Y200" s="900"/>
      <c r="Z200" s="900"/>
    </row>
    <row r="201" spans="1:26">
      <c r="A201" s="900"/>
      <c r="B201" s="920"/>
      <c r="C201" s="920"/>
      <c r="D201" s="920"/>
      <c r="E201" s="920"/>
      <c r="F201" s="920"/>
      <c r="G201" s="920"/>
      <c r="V201" s="920"/>
      <c r="W201" s="920"/>
      <c r="X201" s="900"/>
      <c r="Y201" s="900"/>
      <c r="Z201" s="900"/>
    </row>
    <row r="202" spans="1:26">
      <c r="A202" s="900"/>
      <c r="B202" s="920"/>
      <c r="C202" s="920"/>
      <c r="D202" s="920"/>
      <c r="E202" s="920"/>
      <c r="F202" s="920"/>
      <c r="G202" s="920"/>
      <c r="V202" s="920"/>
      <c r="W202" s="920"/>
      <c r="X202" s="900"/>
      <c r="Y202" s="900"/>
      <c r="Z202" s="900"/>
    </row>
    <row r="203" spans="1:26">
      <c r="A203" s="900"/>
      <c r="B203" s="920"/>
      <c r="C203" s="920"/>
      <c r="D203" s="920"/>
      <c r="E203" s="920"/>
      <c r="F203" s="920"/>
      <c r="G203" s="920"/>
      <c r="V203" s="920"/>
      <c r="W203" s="920"/>
      <c r="X203" s="900"/>
      <c r="Y203" s="900"/>
      <c r="Z203" s="900"/>
    </row>
    <row r="204" spans="1:26">
      <c r="A204" s="900"/>
      <c r="B204" s="920"/>
      <c r="C204" s="920"/>
      <c r="D204" s="920"/>
      <c r="E204" s="920"/>
      <c r="F204" s="920"/>
      <c r="G204" s="920"/>
      <c r="V204" s="920"/>
      <c r="W204" s="920"/>
      <c r="X204" s="900"/>
      <c r="Y204" s="900"/>
      <c r="Z204" s="900"/>
    </row>
    <row r="205" spans="1:26">
      <c r="A205" s="900"/>
      <c r="B205" s="920"/>
      <c r="C205" s="920"/>
      <c r="D205" s="920"/>
      <c r="E205" s="920"/>
      <c r="F205" s="920"/>
      <c r="G205" s="920"/>
      <c r="V205" s="920"/>
      <c r="W205" s="920"/>
      <c r="X205" s="900"/>
      <c r="Y205" s="900"/>
      <c r="Z205" s="900"/>
    </row>
    <row r="206" spans="1:26">
      <c r="A206" s="900"/>
      <c r="B206" s="920"/>
      <c r="C206" s="920"/>
      <c r="D206" s="920"/>
      <c r="E206" s="920"/>
      <c r="F206" s="920"/>
      <c r="G206" s="920"/>
      <c r="V206" s="920"/>
      <c r="W206" s="920"/>
      <c r="X206" s="900"/>
      <c r="Y206" s="900"/>
      <c r="Z206" s="900"/>
    </row>
    <row r="207" spans="1:26">
      <c r="A207" s="900"/>
      <c r="B207" s="920"/>
      <c r="C207" s="920"/>
      <c r="D207" s="920"/>
      <c r="E207" s="920"/>
      <c r="F207" s="920"/>
      <c r="G207" s="920"/>
      <c r="V207" s="920"/>
      <c r="W207" s="920"/>
      <c r="X207" s="900"/>
      <c r="Y207" s="900"/>
      <c r="Z207" s="900"/>
    </row>
    <row r="208" spans="1:26">
      <c r="A208" s="900"/>
      <c r="B208" s="920"/>
      <c r="C208" s="920"/>
      <c r="D208" s="920"/>
      <c r="E208" s="920"/>
      <c r="F208" s="920"/>
      <c r="G208" s="920"/>
      <c r="V208" s="920"/>
      <c r="W208" s="920"/>
      <c r="X208" s="900"/>
      <c r="Y208" s="900"/>
      <c r="Z208" s="900"/>
    </row>
    <row r="209" spans="1:26">
      <c r="A209" s="900"/>
      <c r="B209" s="920"/>
      <c r="C209" s="920"/>
      <c r="D209" s="920"/>
      <c r="E209" s="920"/>
      <c r="F209" s="920"/>
      <c r="G209" s="920"/>
      <c r="V209" s="920"/>
      <c r="W209" s="920"/>
      <c r="X209" s="900"/>
      <c r="Y209" s="900"/>
      <c r="Z209" s="900"/>
    </row>
    <row r="210" spans="1:26">
      <c r="A210" s="900"/>
      <c r="B210" s="920"/>
      <c r="C210" s="920"/>
      <c r="D210" s="920"/>
      <c r="E210" s="920"/>
      <c r="F210" s="920"/>
      <c r="G210" s="920"/>
      <c r="V210" s="920"/>
      <c r="W210" s="920"/>
      <c r="X210" s="900"/>
      <c r="Y210" s="900"/>
      <c r="Z210" s="900"/>
    </row>
    <row r="211" spans="1:26">
      <c r="A211" s="900"/>
      <c r="B211" s="920"/>
      <c r="C211" s="920"/>
      <c r="D211" s="920"/>
      <c r="E211" s="920"/>
      <c r="F211" s="920"/>
      <c r="G211" s="920"/>
      <c r="V211" s="920"/>
      <c r="W211" s="920"/>
      <c r="X211" s="900"/>
      <c r="Y211" s="900"/>
      <c r="Z211" s="900"/>
    </row>
    <row r="212" spans="1:26">
      <c r="A212" s="900"/>
      <c r="B212" s="920"/>
      <c r="C212" s="920"/>
      <c r="D212" s="920"/>
      <c r="E212" s="920"/>
      <c r="F212" s="920"/>
      <c r="G212" s="920"/>
      <c r="V212" s="920"/>
      <c r="W212" s="920"/>
      <c r="X212" s="900"/>
      <c r="Y212" s="900"/>
      <c r="Z212" s="900"/>
    </row>
    <row r="213" spans="1:26">
      <c r="A213" s="900"/>
      <c r="B213" s="920"/>
      <c r="C213" s="920"/>
      <c r="D213" s="920"/>
      <c r="E213" s="920"/>
      <c r="F213" s="920"/>
      <c r="G213" s="920"/>
      <c r="V213" s="920"/>
      <c r="W213" s="920"/>
      <c r="X213" s="900"/>
      <c r="Y213" s="900"/>
      <c r="Z213" s="900"/>
    </row>
    <row r="214" spans="1:26">
      <c r="A214" s="900"/>
      <c r="B214" s="920"/>
      <c r="C214" s="920"/>
      <c r="D214" s="920"/>
      <c r="E214" s="920"/>
      <c r="F214" s="920"/>
      <c r="G214" s="920"/>
      <c r="V214" s="920"/>
      <c r="W214" s="920"/>
      <c r="X214" s="900"/>
      <c r="Y214" s="900"/>
      <c r="Z214" s="900"/>
    </row>
    <row r="215" spans="1:26">
      <c r="A215" s="900"/>
      <c r="B215" s="920"/>
      <c r="C215" s="920"/>
      <c r="D215" s="920"/>
      <c r="E215" s="920"/>
      <c r="F215" s="920"/>
      <c r="G215" s="920"/>
      <c r="V215" s="920"/>
      <c r="W215" s="920"/>
      <c r="X215" s="900"/>
      <c r="Y215" s="900"/>
      <c r="Z215" s="900"/>
    </row>
    <row r="216" spans="1:26">
      <c r="A216" s="900"/>
      <c r="B216" s="920"/>
      <c r="C216" s="920"/>
      <c r="D216" s="920"/>
      <c r="E216" s="920"/>
      <c r="F216" s="920"/>
      <c r="G216" s="920"/>
      <c r="V216" s="920"/>
      <c r="W216" s="920"/>
      <c r="X216" s="900"/>
      <c r="Y216" s="900"/>
      <c r="Z216" s="900"/>
    </row>
    <row r="217" spans="1:26">
      <c r="A217" s="900"/>
      <c r="B217" s="920"/>
      <c r="C217" s="920"/>
      <c r="D217" s="920"/>
      <c r="E217" s="920"/>
      <c r="F217" s="920"/>
      <c r="G217" s="920"/>
      <c r="V217" s="920"/>
      <c r="W217" s="920"/>
      <c r="X217" s="900"/>
      <c r="Y217" s="900"/>
      <c r="Z217" s="900"/>
    </row>
    <row r="218" spans="1:26">
      <c r="A218" s="900"/>
      <c r="B218" s="920"/>
      <c r="C218" s="920"/>
      <c r="D218" s="920"/>
      <c r="E218" s="920"/>
      <c r="F218" s="920"/>
      <c r="G218" s="920"/>
      <c r="V218" s="920"/>
      <c r="W218" s="920"/>
      <c r="X218" s="900"/>
      <c r="Y218" s="900"/>
      <c r="Z218" s="900"/>
    </row>
    <row r="219" spans="1:26">
      <c r="A219" s="900"/>
      <c r="B219" s="920"/>
      <c r="C219" s="920"/>
      <c r="D219" s="920"/>
      <c r="E219" s="920"/>
      <c r="F219" s="920"/>
      <c r="G219" s="920"/>
      <c r="V219" s="920"/>
      <c r="W219" s="920"/>
      <c r="X219" s="900"/>
      <c r="Y219" s="900"/>
      <c r="Z219" s="900"/>
    </row>
    <row r="220" spans="1:26">
      <c r="A220" s="900"/>
      <c r="B220" s="920"/>
      <c r="C220" s="920"/>
      <c r="D220" s="920"/>
      <c r="E220" s="920"/>
      <c r="F220" s="920"/>
      <c r="G220" s="920"/>
      <c r="V220" s="920"/>
      <c r="W220" s="920"/>
      <c r="X220" s="900"/>
      <c r="Y220" s="900"/>
      <c r="Z220" s="900"/>
    </row>
    <row r="221" spans="1:26">
      <c r="A221" s="900"/>
      <c r="B221" s="920"/>
      <c r="C221" s="920"/>
      <c r="D221" s="920"/>
      <c r="E221" s="920"/>
      <c r="F221" s="920"/>
      <c r="G221" s="920"/>
      <c r="V221" s="920"/>
      <c r="W221" s="920"/>
      <c r="X221" s="900"/>
      <c r="Y221" s="900"/>
      <c r="Z221" s="900"/>
    </row>
    <row r="222" spans="1:26">
      <c r="A222" s="900"/>
      <c r="B222" s="920"/>
      <c r="C222" s="920"/>
      <c r="D222" s="920"/>
      <c r="E222" s="920"/>
      <c r="F222" s="920"/>
      <c r="G222" s="920"/>
      <c r="V222" s="920"/>
      <c r="W222" s="920"/>
      <c r="X222" s="900"/>
      <c r="Y222" s="900"/>
      <c r="Z222" s="900"/>
    </row>
    <row r="223" spans="1:26">
      <c r="A223" s="900"/>
      <c r="B223" s="920"/>
      <c r="C223" s="920"/>
      <c r="D223" s="920"/>
      <c r="E223" s="920"/>
      <c r="F223" s="920"/>
      <c r="G223" s="920"/>
      <c r="V223" s="920"/>
      <c r="W223" s="920"/>
      <c r="X223" s="900"/>
      <c r="Y223" s="900"/>
      <c r="Z223" s="900"/>
    </row>
    <row r="224" spans="1:26">
      <c r="A224" s="900"/>
      <c r="B224" s="920"/>
      <c r="C224" s="920"/>
      <c r="D224" s="920"/>
      <c r="E224" s="920"/>
      <c r="F224" s="920"/>
      <c r="G224" s="920"/>
      <c r="V224" s="920"/>
      <c r="W224" s="920"/>
      <c r="X224" s="900"/>
      <c r="Y224" s="900"/>
      <c r="Z224" s="900"/>
    </row>
    <row r="225" spans="1:26">
      <c r="A225" s="900"/>
      <c r="B225" s="920"/>
      <c r="C225" s="920"/>
      <c r="D225" s="920"/>
      <c r="E225" s="920"/>
      <c r="F225" s="920"/>
      <c r="G225" s="920"/>
      <c r="V225" s="920"/>
      <c r="W225" s="920"/>
      <c r="X225" s="900"/>
      <c r="Y225" s="900"/>
      <c r="Z225" s="900"/>
    </row>
    <row r="226" spans="1:26">
      <c r="A226" s="900"/>
      <c r="B226" s="920"/>
      <c r="C226" s="920"/>
      <c r="D226" s="920"/>
      <c r="E226" s="920"/>
      <c r="F226" s="920"/>
      <c r="G226" s="920"/>
      <c r="V226" s="920"/>
      <c r="W226" s="920"/>
      <c r="X226" s="900"/>
      <c r="Y226" s="900"/>
      <c r="Z226" s="900"/>
    </row>
    <row r="227" spans="1:26">
      <c r="A227" s="900"/>
      <c r="B227" s="920"/>
      <c r="C227" s="920"/>
      <c r="D227" s="920"/>
      <c r="E227" s="920"/>
      <c r="F227" s="920"/>
      <c r="G227" s="920"/>
      <c r="V227" s="920"/>
      <c r="W227" s="920"/>
      <c r="X227" s="900"/>
      <c r="Y227" s="900"/>
      <c r="Z227" s="900"/>
    </row>
    <row r="228" spans="1:26">
      <c r="A228" s="900"/>
      <c r="B228" s="920"/>
      <c r="C228" s="920"/>
      <c r="D228" s="920"/>
      <c r="E228" s="920"/>
      <c r="F228" s="920"/>
      <c r="G228" s="920"/>
      <c r="V228" s="920"/>
      <c r="W228" s="920"/>
      <c r="X228" s="900"/>
      <c r="Y228" s="900"/>
      <c r="Z228" s="900"/>
    </row>
    <row r="229" spans="1:26">
      <c r="A229" s="900"/>
      <c r="B229" s="920"/>
      <c r="C229" s="920"/>
      <c r="D229" s="920"/>
      <c r="E229" s="920"/>
      <c r="F229" s="920"/>
      <c r="G229" s="920"/>
      <c r="V229" s="920"/>
      <c r="W229" s="920"/>
      <c r="X229" s="900"/>
      <c r="Y229" s="900"/>
      <c r="Z229" s="900"/>
    </row>
    <row r="230" spans="1:26">
      <c r="A230" s="900"/>
      <c r="B230" s="920"/>
      <c r="C230" s="920"/>
      <c r="D230" s="920"/>
      <c r="E230" s="920"/>
      <c r="F230" s="920"/>
      <c r="G230" s="920"/>
      <c r="V230" s="920"/>
      <c r="W230" s="920"/>
      <c r="X230" s="900"/>
      <c r="Y230" s="900"/>
      <c r="Z230" s="900"/>
    </row>
    <row r="231" spans="1:26">
      <c r="A231" s="900"/>
      <c r="B231" s="920"/>
      <c r="C231" s="920"/>
      <c r="D231" s="920"/>
      <c r="E231" s="920"/>
      <c r="F231" s="920"/>
      <c r="G231" s="920"/>
      <c r="V231" s="920"/>
      <c r="W231" s="920"/>
      <c r="X231" s="900"/>
      <c r="Y231" s="900"/>
      <c r="Z231" s="900"/>
    </row>
    <row r="232" spans="1:26">
      <c r="A232" s="900"/>
      <c r="B232" s="920"/>
      <c r="C232" s="920"/>
      <c r="D232" s="920"/>
      <c r="E232" s="920"/>
      <c r="F232" s="920"/>
      <c r="G232" s="920"/>
      <c r="V232" s="920"/>
      <c r="W232" s="920"/>
      <c r="X232" s="900"/>
      <c r="Y232" s="900"/>
      <c r="Z232" s="900"/>
    </row>
    <row r="233" spans="1:26">
      <c r="A233" s="900"/>
      <c r="B233" s="920"/>
      <c r="C233" s="920"/>
      <c r="D233" s="920"/>
      <c r="E233" s="920"/>
      <c r="F233" s="920"/>
      <c r="G233" s="920"/>
      <c r="V233" s="920"/>
      <c r="W233" s="920"/>
      <c r="X233" s="900"/>
      <c r="Y233" s="900"/>
      <c r="Z233" s="900"/>
    </row>
    <row r="234" spans="1:26">
      <c r="A234" s="900"/>
      <c r="B234" s="920"/>
      <c r="C234" s="920"/>
      <c r="D234" s="920"/>
      <c r="E234" s="920"/>
      <c r="F234" s="920"/>
      <c r="G234" s="920"/>
      <c r="V234" s="920"/>
      <c r="W234" s="920"/>
      <c r="X234" s="900"/>
      <c r="Y234" s="900"/>
      <c r="Z234" s="900"/>
    </row>
    <row r="235" spans="1:26">
      <c r="A235" s="900"/>
      <c r="B235" s="920"/>
      <c r="C235" s="920"/>
      <c r="D235" s="920"/>
      <c r="E235" s="920"/>
      <c r="F235" s="920"/>
      <c r="G235" s="920"/>
      <c r="V235" s="920"/>
      <c r="W235" s="920"/>
      <c r="X235" s="900"/>
      <c r="Y235" s="900"/>
      <c r="Z235" s="900"/>
    </row>
    <row r="236" spans="1:26">
      <c r="A236" s="900"/>
      <c r="B236" s="920"/>
      <c r="C236" s="920"/>
      <c r="D236" s="920"/>
      <c r="E236" s="920"/>
      <c r="F236" s="920"/>
      <c r="G236" s="920"/>
      <c r="V236" s="920"/>
      <c r="W236" s="920"/>
      <c r="X236" s="900"/>
      <c r="Y236" s="900"/>
      <c r="Z236" s="900"/>
    </row>
    <row r="237" spans="1:26">
      <c r="A237" s="900"/>
      <c r="B237" s="920"/>
      <c r="C237" s="920"/>
      <c r="D237" s="920"/>
      <c r="E237" s="920"/>
      <c r="F237" s="920"/>
      <c r="G237" s="920"/>
      <c r="V237" s="920"/>
      <c r="W237" s="920"/>
      <c r="X237" s="900"/>
      <c r="Y237" s="900"/>
      <c r="Z237" s="900"/>
    </row>
    <row r="238" spans="1:26">
      <c r="A238" s="900"/>
      <c r="B238" s="920"/>
      <c r="C238" s="920"/>
      <c r="D238" s="920"/>
      <c r="E238" s="920"/>
      <c r="F238" s="920"/>
      <c r="G238" s="920"/>
      <c r="V238" s="920"/>
      <c r="W238" s="920"/>
      <c r="X238" s="900"/>
      <c r="Y238" s="900"/>
      <c r="Z238" s="900"/>
    </row>
    <row r="239" spans="1:26">
      <c r="A239" s="900"/>
      <c r="B239" s="920"/>
      <c r="C239" s="920"/>
      <c r="D239" s="920"/>
      <c r="E239" s="920"/>
      <c r="F239" s="920"/>
      <c r="G239" s="920"/>
      <c r="V239" s="920"/>
      <c r="W239" s="920"/>
      <c r="X239" s="900"/>
      <c r="Y239" s="900"/>
      <c r="Z239" s="900"/>
    </row>
    <row r="240" spans="1:26">
      <c r="A240" s="900"/>
      <c r="B240" s="920"/>
      <c r="C240" s="920"/>
      <c r="D240" s="920"/>
      <c r="E240" s="920"/>
      <c r="F240" s="920"/>
      <c r="G240" s="920"/>
      <c r="V240" s="920"/>
      <c r="W240" s="920"/>
      <c r="X240" s="900"/>
      <c r="Y240" s="900"/>
      <c r="Z240" s="900"/>
    </row>
    <row r="241" spans="1:26">
      <c r="A241" s="900"/>
      <c r="B241" s="920"/>
      <c r="C241" s="920"/>
      <c r="D241" s="920"/>
      <c r="E241" s="920"/>
      <c r="F241" s="920"/>
      <c r="G241" s="920"/>
      <c r="V241" s="920"/>
      <c r="W241" s="920"/>
      <c r="X241" s="900"/>
      <c r="Y241" s="900"/>
      <c r="Z241" s="900"/>
    </row>
    <row r="242" spans="1:26">
      <c r="A242" s="900"/>
      <c r="B242" s="920"/>
      <c r="C242" s="920"/>
      <c r="D242" s="920"/>
      <c r="E242" s="920"/>
      <c r="F242" s="920"/>
      <c r="G242" s="920"/>
      <c r="V242" s="920"/>
      <c r="W242" s="920"/>
      <c r="X242" s="900"/>
      <c r="Y242" s="900"/>
      <c r="Z242" s="900"/>
    </row>
    <row r="243" spans="1:26">
      <c r="A243" s="900"/>
      <c r="B243" s="920"/>
      <c r="C243" s="920"/>
      <c r="D243" s="920"/>
      <c r="E243" s="920"/>
      <c r="F243" s="920"/>
      <c r="G243" s="920"/>
      <c r="V243" s="920"/>
      <c r="W243" s="920"/>
      <c r="X243" s="900"/>
      <c r="Y243" s="900"/>
      <c r="Z243" s="900"/>
    </row>
    <row r="244" spans="1:26">
      <c r="A244" s="900"/>
      <c r="B244" s="920"/>
      <c r="C244" s="920"/>
      <c r="D244" s="920"/>
      <c r="E244" s="920"/>
      <c r="F244" s="920"/>
      <c r="G244" s="920"/>
      <c r="V244" s="920"/>
      <c r="W244" s="920"/>
      <c r="X244" s="900"/>
      <c r="Y244" s="900"/>
      <c r="Z244" s="900"/>
    </row>
    <row r="245" spans="1:26">
      <c r="A245" s="900"/>
      <c r="B245" s="920"/>
      <c r="C245" s="920"/>
      <c r="D245" s="920"/>
      <c r="E245" s="920"/>
      <c r="F245" s="920"/>
      <c r="G245" s="920"/>
      <c r="V245" s="920"/>
      <c r="W245" s="920"/>
      <c r="X245" s="900"/>
      <c r="Y245" s="900"/>
      <c r="Z245" s="900"/>
    </row>
    <row r="246" spans="1:26">
      <c r="A246" s="900"/>
      <c r="B246" s="920"/>
      <c r="C246" s="920"/>
      <c r="D246" s="920"/>
      <c r="E246" s="920"/>
      <c r="F246" s="920"/>
      <c r="G246" s="920"/>
      <c r="V246" s="920"/>
      <c r="W246" s="920"/>
      <c r="X246" s="900"/>
      <c r="Y246" s="900"/>
      <c r="Z246" s="900"/>
    </row>
    <row r="247" spans="1:26">
      <c r="A247" s="900"/>
      <c r="B247" s="920"/>
      <c r="C247" s="920"/>
      <c r="D247" s="920"/>
      <c r="E247" s="920"/>
      <c r="F247" s="920"/>
      <c r="G247" s="920"/>
      <c r="V247" s="920"/>
      <c r="W247" s="920"/>
      <c r="X247" s="900"/>
      <c r="Y247" s="900"/>
      <c r="Z247" s="900"/>
    </row>
    <row r="248" spans="1:26">
      <c r="A248" s="900"/>
      <c r="B248" s="920"/>
      <c r="C248" s="920"/>
      <c r="D248" s="920"/>
      <c r="E248" s="920"/>
      <c r="F248" s="920"/>
      <c r="G248" s="920"/>
      <c r="V248" s="920"/>
      <c r="W248" s="920"/>
      <c r="X248" s="900"/>
      <c r="Y248" s="900"/>
      <c r="Z248" s="900"/>
    </row>
    <row r="249" spans="1:26">
      <c r="A249" s="900"/>
      <c r="B249" s="920"/>
      <c r="C249" s="920"/>
      <c r="D249" s="920"/>
      <c r="E249" s="920"/>
      <c r="F249" s="920"/>
      <c r="G249" s="920"/>
      <c r="V249" s="920"/>
      <c r="W249" s="920"/>
      <c r="X249" s="900"/>
      <c r="Y249" s="900"/>
      <c r="Z249" s="900"/>
    </row>
    <row r="250" spans="1:26">
      <c r="A250" s="900"/>
      <c r="B250" s="920"/>
      <c r="C250" s="920"/>
      <c r="D250" s="920"/>
      <c r="E250" s="920"/>
      <c r="F250" s="920"/>
      <c r="G250" s="920"/>
      <c r="V250" s="920"/>
      <c r="W250" s="920"/>
      <c r="X250" s="900"/>
      <c r="Y250" s="900"/>
      <c r="Z250" s="900"/>
    </row>
    <row r="251" spans="1:26">
      <c r="A251" s="900"/>
      <c r="B251" s="920"/>
      <c r="C251" s="920"/>
      <c r="D251" s="920"/>
      <c r="E251" s="920"/>
      <c r="F251" s="920"/>
      <c r="G251" s="920"/>
      <c r="V251" s="920"/>
      <c r="W251" s="920"/>
      <c r="X251" s="900"/>
      <c r="Y251" s="900"/>
      <c r="Z251" s="900"/>
    </row>
    <row r="252" spans="1:26">
      <c r="A252" s="900"/>
      <c r="B252" s="920"/>
      <c r="C252" s="920"/>
      <c r="D252" s="920"/>
      <c r="E252" s="920"/>
      <c r="F252" s="920"/>
      <c r="G252" s="920"/>
      <c r="V252" s="920"/>
      <c r="W252" s="920"/>
      <c r="X252" s="900"/>
      <c r="Y252" s="900"/>
      <c r="Z252" s="900"/>
    </row>
    <row r="253" spans="1:26">
      <c r="A253" s="900"/>
      <c r="B253" s="920"/>
      <c r="C253" s="920"/>
      <c r="D253" s="920"/>
      <c r="E253" s="920"/>
      <c r="F253" s="920"/>
      <c r="G253" s="920"/>
      <c r="V253" s="920"/>
      <c r="W253" s="920"/>
      <c r="X253" s="900"/>
      <c r="Y253" s="900"/>
      <c r="Z253" s="900"/>
    </row>
    <row r="254" spans="1:26">
      <c r="A254" s="900"/>
      <c r="B254" s="920"/>
      <c r="C254" s="920"/>
      <c r="D254" s="920"/>
      <c r="E254" s="920"/>
      <c r="F254" s="920"/>
      <c r="G254" s="920"/>
      <c r="V254" s="920"/>
      <c r="W254" s="920"/>
      <c r="X254" s="900"/>
      <c r="Y254" s="900"/>
      <c r="Z254" s="900"/>
    </row>
    <row r="255" spans="1:26">
      <c r="A255" s="900"/>
      <c r="B255" s="920"/>
      <c r="C255" s="920"/>
      <c r="D255" s="920"/>
      <c r="E255" s="920"/>
      <c r="F255" s="920"/>
      <c r="G255" s="920"/>
      <c r="V255" s="920"/>
      <c r="W255" s="920"/>
      <c r="X255" s="900"/>
      <c r="Y255" s="900"/>
      <c r="Z255" s="900"/>
    </row>
    <row r="256" spans="1:26">
      <c r="A256" s="900"/>
      <c r="B256" s="920"/>
      <c r="C256" s="920"/>
      <c r="D256" s="920"/>
      <c r="E256" s="920"/>
      <c r="F256" s="920"/>
      <c r="G256" s="920"/>
      <c r="V256" s="920"/>
      <c r="W256" s="920"/>
      <c r="X256" s="900"/>
      <c r="Y256" s="900"/>
      <c r="Z256" s="900"/>
    </row>
    <row r="257" spans="1:26">
      <c r="A257" s="900"/>
      <c r="B257" s="920"/>
      <c r="C257" s="920"/>
      <c r="D257" s="920"/>
      <c r="E257" s="920"/>
      <c r="F257" s="920"/>
      <c r="G257" s="920"/>
      <c r="V257" s="920"/>
      <c r="W257" s="920"/>
      <c r="X257" s="900"/>
      <c r="Y257" s="900"/>
      <c r="Z257" s="900"/>
    </row>
    <row r="258" spans="1:26">
      <c r="A258" s="900"/>
      <c r="B258" s="920"/>
      <c r="C258" s="920"/>
      <c r="D258" s="920"/>
      <c r="E258" s="920"/>
      <c r="F258" s="920"/>
      <c r="G258" s="920"/>
      <c r="V258" s="920"/>
      <c r="W258" s="920"/>
      <c r="X258" s="900"/>
      <c r="Y258" s="900"/>
      <c r="Z258" s="900"/>
    </row>
    <row r="259" spans="1:26">
      <c r="A259" s="900"/>
      <c r="B259" s="920"/>
      <c r="C259" s="920"/>
      <c r="D259" s="920"/>
      <c r="E259" s="920"/>
      <c r="F259" s="920"/>
      <c r="G259" s="920"/>
      <c r="V259" s="920"/>
      <c r="W259" s="920"/>
      <c r="X259" s="900"/>
      <c r="Y259" s="900"/>
      <c r="Z259" s="900"/>
    </row>
    <row r="260" spans="1:26">
      <c r="A260" s="900"/>
      <c r="B260" s="920"/>
      <c r="C260" s="920"/>
      <c r="D260" s="920"/>
      <c r="E260" s="920"/>
      <c r="F260" s="920"/>
      <c r="G260" s="920"/>
      <c r="V260" s="920"/>
      <c r="W260" s="920"/>
      <c r="X260" s="900"/>
      <c r="Y260" s="900"/>
      <c r="Z260" s="900"/>
    </row>
    <row r="261" spans="1:26">
      <c r="A261" s="900"/>
      <c r="B261" s="920"/>
      <c r="C261" s="920"/>
      <c r="D261" s="920"/>
      <c r="E261" s="920"/>
      <c r="F261" s="920"/>
      <c r="G261" s="920"/>
      <c r="V261" s="920"/>
      <c r="W261" s="920"/>
      <c r="X261" s="900"/>
      <c r="Y261" s="900"/>
      <c r="Z261" s="900"/>
    </row>
    <row r="262" spans="1:26">
      <c r="A262" s="900"/>
      <c r="B262" s="920"/>
      <c r="C262" s="920"/>
      <c r="D262" s="920"/>
      <c r="E262" s="920"/>
      <c r="F262" s="920"/>
      <c r="G262" s="920"/>
      <c r="V262" s="920"/>
      <c r="W262" s="920"/>
      <c r="X262" s="900"/>
      <c r="Y262" s="900"/>
      <c r="Z262" s="900"/>
    </row>
    <row r="263" spans="1:26">
      <c r="A263" s="900"/>
      <c r="B263" s="920"/>
      <c r="C263" s="920"/>
      <c r="D263" s="920"/>
      <c r="E263" s="920"/>
      <c r="F263" s="920"/>
      <c r="G263" s="920"/>
      <c r="V263" s="920"/>
      <c r="W263" s="920"/>
      <c r="X263" s="900"/>
      <c r="Y263" s="900"/>
      <c r="Z263" s="900"/>
    </row>
    <row r="264" spans="1:26">
      <c r="A264" s="900"/>
      <c r="B264" s="920"/>
      <c r="C264" s="920"/>
      <c r="D264" s="920"/>
      <c r="E264" s="920"/>
      <c r="F264" s="920"/>
      <c r="G264" s="920"/>
      <c r="V264" s="920"/>
      <c r="W264" s="920"/>
      <c r="X264" s="900"/>
      <c r="Y264" s="900"/>
      <c r="Z264" s="900"/>
    </row>
    <row r="265" spans="1:26">
      <c r="A265" s="900"/>
      <c r="B265" s="920"/>
      <c r="C265" s="920"/>
      <c r="D265" s="920"/>
      <c r="E265" s="920"/>
      <c r="F265" s="920"/>
      <c r="G265" s="920"/>
      <c r="V265" s="920"/>
      <c r="W265" s="920"/>
      <c r="X265" s="900"/>
      <c r="Y265" s="900"/>
      <c r="Z265" s="900"/>
    </row>
    <row r="266" spans="1:26">
      <c r="A266" s="900"/>
      <c r="B266" s="920"/>
      <c r="C266" s="920"/>
      <c r="D266" s="920"/>
      <c r="E266" s="920"/>
      <c r="F266" s="920"/>
      <c r="G266" s="920"/>
      <c r="V266" s="920"/>
      <c r="W266" s="920"/>
      <c r="X266" s="900"/>
      <c r="Y266" s="900"/>
      <c r="Z266" s="900"/>
    </row>
    <row r="267" spans="1:26">
      <c r="A267" s="900"/>
      <c r="B267" s="920"/>
      <c r="C267" s="920"/>
      <c r="D267" s="920"/>
      <c r="E267" s="920"/>
      <c r="F267" s="920"/>
      <c r="G267" s="920"/>
      <c r="V267" s="920"/>
      <c r="W267" s="920"/>
      <c r="X267" s="900"/>
      <c r="Y267" s="900"/>
      <c r="Z267" s="900"/>
    </row>
    <row r="268" spans="1:26">
      <c r="A268" s="900"/>
      <c r="B268" s="920"/>
      <c r="C268" s="920"/>
      <c r="D268" s="920"/>
      <c r="E268" s="920"/>
      <c r="F268" s="920"/>
      <c r="G268" s="920"/>
      <c r="V268" s="920"/>
      <c r="W268" s="920"/>
      <c r="X268" s="900"/>
      <c r="Y268" s="900"/>
      <c r="Z268" s="900"/>
    </row>
    <row r="269" spans="1:26">
      <c r="A269" s="900"/>
      <c r="B269" s="920"/>
      <c r="C269" s="920"/>
      <c r="D269" s="920"/>
      <c r="E269" s="920"/>
      <c r="F269" s="920"/>
      <c r="G269" s="920"/>
      <c r="V269" s="920"/>
      <c r="W269" s="920"/>
      <c r="X269" s="900"/>
      <c r="Y269" s="900"/>
      <c r="Z269" s="900"/>
    </row>
    <row r="270" spans="1:26">
      <c r="A270" s="900"/>
      <c r="B270" s="920"/>
      <c r="C270" s="920"/>
      <c r="D270" s="920"/>
      <c r="E270" s="920"/>
      <c r="F270" s="920"/>
      <c r="G270" s="920"/>
      <c r="V270" s="920"/>
      <c r="W270" s="920"/>
      <c r="X270" s="900"/>
      <c r="Y270" s="900"/>
      <c r="Z270" s="900"/>
    </row>
    <row r="271" spans="1:26">
      <c r="A271" s="900"/>
      <c r="B271" s="920"/>
      <c r="C271" s="920"/>
      <c r="D271" s="920"/>
      <c r="E271" s="920"/>
      <c r="F271" s="920"/>
      <c r="G271" s="920"/>
      <c r="V271" s="920"/>
      <c r="W271" s="920"/>
      <c r="X271" s="900"/>
      <c r="Y271" s="900"/>
      <c r="Z271" s="900"/>
    </row>
    <row r="272" spans="1:26">
      <c r="A272" s="900"/>
      <c r="B272" s="920"/>
      <c r="C272" s="920"/>
      <c r="D272" s="920"/>
      <c r="E272" s="920"/>
      <c r="F272" s="920"/>
      <c r="G272" s="920"/>
      <c r="V272" s="920"/>
      <c r="W272" s="920"/>
      <c r="X272" s="900"/>
      <c r="Y272" s="900"/>
      <c r="Z272" s="900"/>
    </row>
    <row r="273" spans="1:26">
      <c r="A273" s="900"/>
      <c r="B273" s="920"/>
      <c r="C273" s="920"/>
      <c r="D273" s="920"/>
      <c r="E273" s="920"/>
      <c r="F273" s="920"/>
      <c r="G273" s="920"/>
      <c r="V273" s="920"/>
      <c r="W273" s="920"/>
      <c r="X273" s="900"/>
      <c r="Y273" s="900"/>
      <c r="Z273" s="900"/>
    </row>
    <row r="274" spans="1:26">
      <c r="A274" s="900"/>
      <c r="B274" s="920"/>
      <c r="C274" s="920"/>
      <c r="D274" s="920"/>
      <c r="E274" s="920"/>
      <c r="F274" s="920"/>
      <c r="G274" s="920"/>
      <c r="V274" s="920"/>
      <c r="W274" s="920"/>
      <c r="X274" s="900"/>
      <c r="Y274" s="900"/>
      <c r="Z274" s="900"/>
    </row>
    <row r="275" spans="1:26">
      <c r="A275" s="900"/>
      <c r="B275" s="920"/>
      <c r="C275" s="920"/>
      <c r="D275" s="920"/>
      <c r="E275" s="920"/>
      <c r="F275" s="920"/>
      <c r="G275" s="920"/>
      <c r="V275" s="920"/>
      <c r="W275" s="920"/>
      <c r="X275" s="900"/>
      <c r="Y275" s="900"/>
      <c r="Z275" s="900"/>
    </row>
    <row r="276" spans="1:26">
      <c r="A276" s="900"/>
      <c r="B276" s="920"/>
      <c r="C276" s="920"/>
      <c r="D276" s="920"/>
      <c r="E276" s="920"/>
      <c r="F276" s="920"/>
      <c r="G276" s="920"/>
      <c r="V276" s="920"/>
      <c r="W276" s="920"/>
      <c r="X276" s="900"/>
      <c r="Y276" s="900"/>
      <c r="Z276" s="900"/>
    </row>
    <row r="277" spans="1:26">
      <c r="A277" s="900"/>
      <c r="B277" s="920"/>
      <c r="C277" s="920"/>
      <c r="D277" s="920"/>
      <c r="E277" s="920"/>
      <c r="F277" s="920"/>
      <c r="G277" s="920"/>
      <c r="V277" s="920"/>
      <c r="W277" s="920"/>
      <c r="X277" s="900"/>
      <c r="Y277" s="900"/>
      <c r="Z277" s="900"/>
    </row>
    <row r="278" spans="1:26">
      <c r="A278" s="900"/>
      <c r="B278" s="920"/>
      <c r="C278" s="920"/>
      <c r="D278" s="920"/>
      <c r="E278" s="920"/>
      <c r="F278" s="920"/>
      <c r="G278" s="920"/>
      <c r="V278" s="920"/>
      <c r="W278" s="920"/>
      <c r="X278" s="900"/>
      <c r="Y278" s="900"/>
      <c r="Z278" s="900"/>
    </row>
    <row r="279" spans="1:26">
      <c r="A279" s="900"/>
      <c r="B279" s="920"/>
      <c r="C279" s="920"/>
      <c r="D279" s="920"/>
      <c r="E279" s="920"/>
      <c r="F279" s="920"/>
      <c r="G279" s="920"/>
      <c r="V279" s="920"/>
      <c r="W279" s="920"/>
      <c r="X279" s="900"/>
      <c r="Y279" s="900"/>
      <c r="Z279" s="900"/>
    </row>
    <row r="280" spans="1:26">
      <c r="A280" s="900"/>
      <c r="B280" s="920"/>
      <c r="C280" s="920"/>
      <c r="D280" s="920"/>
      <c r="E280" s="920"/>
      <c r="F280" s="920"/>
      <c r="G280" s="920"/>
      <c r="V280" s="920"/>
      <c r="W280" s="920"/>
      <c r="X280" s="900"/>
      <c r="Y280" s="900"/>
      <c r="Z280" s="900"/>
    </row>
    <row r="281" spans="1:26">
      <c r="A281" s="900"/>
      <c r="B281" s="920"/>
      <c r="C281" s="920"/>
      <c r="D281" s="920"/>
      <c r="E281" s="920"/>
      <c r="F281" s="920"/>
      <c r="G281" s="920"/>
      <c r="V281" s="920"/>
      <c r="W281" s="920"/>
      <c r="X281" s="900"/>
      <c r="Y281" s="900"/>
      <c r="Z281" s="900"/>
    </row>
    <row r="282" spans="1:26">
      <c r="A282" s="900"/>
      <c r="B282" s="920"/>
      <c r="C282" s="920"/>
      <c r="D282" s="920"/>
      <c r="E282" s="920"/>
      <c r="F282" s="920"/>
      <c r="G282" s="920"/>
      <c r="V282" s="920"/>
      <c r="W282" s="920"/>
      <c r="X282" s="900"/>
      <c r="Y282" s="900"/>
      <c r="Z282" s="900"/>
    </row>
    <row r="283" spans="1:26">
      <c r="A283" s="900"/>
      <c r="B283" s="920"/>
      <c r="C283" s="920"/>
      <c r="D283" s="920"/>
      <c r="E283" s="920"/>
      <c r="F283" s="920"/>
      <c r="G283" s="920"/>
      <c r="V283" s="920"/>
      <c r="W283" s="920"/>
      <c r="X283" s="900"/>
      <c r="Y283" s="900"/>
      <c r="Z283" s="900"/>
    </row>
    <row r="284" spans="1:26">
      <c r="A284" s="900"/>
      <c r="B284" s="920"/>
      <c r="C284" s="920"/>
      <c r="D284" s="920"/>
      <c r="E284" s="920"/>
      <c r="F284" s="920"/>
      <c r="G284" s="920"/>
      <c r="V284" s="920"/>
      <c r="W284" s="920"/>
      <c r="X284" s="900"/>
      <c r="Y284" s="900"/>
      <c r="Z284" s="900"/>
    </row>
    <row r="285" spans="1:26">
      <c r="A285" s="900"/>
      <c r="B285" s="920"/>
      <c r="C285" s="920"/>
      <c r="D285" s="920"/>
      <c r="E285" s="920"/>
      <c r="F285" s="920"/>
      <c r="G285" s="920"/>
      <c r="V285" s="920"/>
      <c r="W285" s="920"/>
      <c r="X285" s="900"/>
      <c r="Y285" s="900"/>
      <c r="Z285" s="900"/>
    </row>
    <row r="286" spans="1:26">
      <c r="A286" s="900"/>
      <c r="B286" s="920"/>
      <c r="C286" s="920"/>
      <c r="D286" s="920"/>
      <c r="E286" s="920"/>
      <c r="F286" s="920"/>
      <c r="G286" s="920"/>
      <c r="V286" s="920"/>
      <c r="W286" s="920"/>
      <c r="X286" s="900"/>
      <c r="Y286" s="900"/>
      <c r="Z286" s="900"/>
    </row>
    <row r="287" spans="1:26">
      <c r="A287" s="900"/>
      <c r="B287" s="920"/>
      <c r="C287" s="920"/>
      <c r="D287" s="920"/>
      <c r="E287" s="920"/>
      <c r="F287" s="920"/>
      <c r="G287" s="920"/>
      <c r="V287" s="920"/>
      <c r="W287" s="920"/>
      <c r="X287" s="900"/>
      <c r="Y287" s="900"/>
      <c r="Z287" s="900"/>
    </row>
    <row r="288" spans="1:26">
      <c r="A288" s="900"/>
      <c r="B288" s="920"/>
      <c r="C288" s="920"/>
      <c r="D288" s="920"/>
      <c r="E288" s="920"/>
      <c r="F288" s="920"/>
      <c r="G288" s="920"/>
      <c r="V288" s="920"/>
      <c r="W288" s="920"/>
      <c r="X288" s="900"/>
      <c r="Y288" s="900"/>
      <c r="Z288" s="900"/>
    </row>
    <row r="289" spans="1:26">
      <c r="A289" s="900"/>
      <c r="B289" s="920"/>
      <c r="C289" s="920"/>
      <c r="D289" s="920"/>
      <c r="E289" s="920"/>
      <c r="F289" s="920"/>
      <c r="G289" s="920"/>
      <c r="V289" s="920"/>
      <c r="W289" s="920"/>
      <c r="X289" s="900"/>
      <c r="Y289" s="900"/>
      <c r="Z289" s="900"/>
    </row>
    <row r="290" spans="1:26">
      <c r="A290" s="900"/>
      <c r="B290" s="920"/>
      <c r="C290" s="920"/>
      <c r="D290" s="920"/>
      <c r="E290" s="920"/>
      <c r="F290" s="920"/>
      <c r="G290" s="920"/>
      <c r="V290" s="920"/>
      <c r="W290" s="920"/>
      <c r="X290" s="900"/>
      <c r="Y290" s="900"/>
      <c r="Z290" s="900"/>
    </row>
    <row r="291" spans="1:26">
      <c r="A291" s="900"/>
      <c r="B291" s="920"/>
      <c r="C291" s="920"/>
      <c r="D291" s="920"/>
      <c r="E291" s="920"/>
      <c r="F291" s="920"/>
      <c r="G291" s="920"/>
      <c r="V291" s="920"/>
      <c r="W291" s="920"/>
      <c r="X291" s="900"/>
      <c r="Y291" s="900"/>
      <c r="Z291" s="900"/>
    </row>
    <row r="292" spans="1:26">
      <c r="A292" s="900"/>
      <c r="B292" s="920"/>
      <c r="C292" s="920"/>
      <c r="D292" s="920"/>
      <c r="E292" s="920"/>
      <c r="F292" s="920"/>
      <c r="G292" s="920"/>
      <c r="V292" s="920"/>
      <c r="W292" s="920"/>
      <c r="X292" s="900"/>
      <c r="Y292" s="900"/>
      <c r="Z292" s="900"/>
    </row>
    <row r="293" spans="1:26">
      <c r="A293" s="900"/>
      <c r="B293" s="920"/>
      <c r="C293" s="920"/>
      <c r="D293" s="920"/>
      <c r="E293" s="920"/>
      <c r="F293" s="920"/>
      <c r="G293" s="920"/>
      <c r="V293" s="920"/>
      <c r="W293" s="920"/>
      <c r="X293" s="900"/>
      <c r="Y293" s="900"/>
      <c r="Z293" s="900"/>
    </row>
    <row r="294" spans="1:26">
      <c r="A294" s="900"/>
      <c r="B294" s="920"/>
      <c r="C294" s="920"/>
      <c r="D294" s="920"/>
      <c r="E294" s="920"/>
      <c r="F294" s="920"/>
      <c r="G294" s="920"/>
      <c r="V294" s="920"/>
      <c r="W294" s="920"/>
      <c r="X294" s="900"/>
      <c r="Y294" s="900"/>
      <c r="Z294" s="900"/>
    </row>
    <row r="295" spans="1:26">
      <c r="A295" s="900"/>
      <c r="B295" s="920"/>
      <c r="C295" s="920"/>
      <c r="D295" s="920"/>
      <c r="E295" s="920"/>
      <c r="F295" s="920"/>
      <c r="G295" s="920"/>
      <c r="V295" s="920"/>
      <c r="W295" s="920"/>
      <c r="X295" s="900"/>
      <c r="Y295" s="900"/>
      <c r="Z295" s="900"/>
    </row>
    <row r="296" spans="1:26">
      <c r="A296" s="900"/>
      <c r="B296" s="920"/>
      <c r="C296" s="920"/>
      <c r="D296" s="920"/>
      <c r="E296" s="920"/>
      <c r="F296" s="920"/>
      <c r="G296" s="920"/>
      <c r="V296" s="920"/>
      <c r="W296" s="920"/>
      <c r="X296" s="900"/>
      <c r="Y296" s="900"/>
      <c r="Z296" s="900"/>
    </row>
    <row r="297" spans="1:26">
      <c r="A297" s="900"/>
      <c r="B297" s="920"/>
      <c r="C297" s="920"/>
      <c r="D297" s="920"/>
      <c r="E297" s="920"/>
      <c r="F297" s="920"/>
      <c r="G297" s="920"/>
      <c r="V297" s="920"/>
      <c r="W297" s="920"/>
      <c r="X297" s="900"/>
      <c r="Y297" s="900"/>
      <c r="Z297" s="900"/>
    </row>
    <row r="298" spans="1:26">
      <c r="A298" s="900"/>
      <c r="B298" s="920"/>
      <c r="C298" s="920"/>
      <c r="D298" s="920"/>
      <c r="E298" s="920"/>
      <c r="F298" s="920"/>
      <c r="G298" s="920"/>
      <c r="V298" s="920"/>
      <c r="W298" s="920"/>
      <c r="X298" s="900"/>
      <c r="Y298" s="900"/>
      <c r="Z298" s="900"/>
    </row>
    <row r="299" spans="1:26">
      <c r="A299" s="900"/>
      <c r="B299" s="920"/>
      <c r="C299" s="920"/>
      <c r="D299" s="920"/>
      <c r="E299" s="920"/>
      <c r="F299" s="920"/>
      <c r="G299" s="920"/>
      <c r="V299" s="920"/>
      <c r="W299" s="920"/>
      <c r="X299" s="900"/>
      <c r="Y299" s="900"/>
      <c r="Z299" s="900"/>
    </row>
    <row r="300" spans="1:26">
      <c r="A300" s="900"/>
      <c r="B300" s="920"/>
      <c r="C300" s="920"/>
      <c r="D300" s="920"/>
      <c r="E300" s="920"/>
      <c r="F300" s="920"/>
      <c r="G300" s="920"/>
      <c r="V300" s="920"/>
      <c r="W300" s="920"/>
      <c r="X300" s="900"/>
      <c r="Y300" s="900"/>
      <c r="Z300" s="900"/>
    </row>
    <row r="301" spans="1:26">
      <c r="A301" s="900"/>
      <c r="B301" s="920"/>
      <c r="C301" s="920"/>
      <c r="D301" s="920"/>
      <c r="E301" s="920"/>
      <c r="F301" s="920"/>
      <c r="G301" s="920"/>
      <c r="V301" s="920"/>
      <c r="W301" s="920"/>
      <c r="X301" s="900"/>
      <c r="Y301" s="900"/>
      <c r="Z301" s="900"/>
    </row>
    <row r="302" spans="1:26">
      <c r="A302" s="900"/>
      <c r="B302" s="920"/>
      <c r="C302" s="920"/>
      <c r="D302" s="920"/>
      <c r="E302" s="920"/>
      <c r="F302" s="920"/>
      <c r="G302" s="920"/>
      <c r="V302" s="920"/>
      <c r="W302" s="920"/>
      <c r="X302" s="900"/>
      <c r="Y302" s="900"/>
      <c r="Z302" s="900"/>
    </row>
    <row r="303" spans="1:26">
      <c r="A303" s="900"/>
      <c r="B303" s="920"/>
      <c r="C303" s="920"/>
      <c r="D303" s="920"/>
      <c r="E303" s="920"/>
      <c r="F303" s="920"/>
      <c r="G303" s="920"/>
      <c r="V303" s="920"/>
      <c r="W303" s="920"/>
      <c r="X303" s="900"/>
      <c r="Y303" s="900"/>
      <c r="Z303" s="900"/>
    </row>
    <row r="304" spans="1:26">
      <c r="A304" s="900"/>
      <c r="B304" s="920"/>
      <c r="C304" s="920"/>
      <c r="D304" s="920"/>
      <c r="E304" s="920"/>
      <c r="F304" s="920"/>
      <c r="G304" s="920"/>
      <c r="V304" s="920"/>
      <c r="W304" s="920"/>
      <c r="X304" s="900"/>
      <c r="Y304" s="900"/>
      <c r="Z304" s="900"/>
    </row>
    <row r="305" spans="1:26">
      <c r="A305" s="900"/>
      <c r="B305" s="920"/>
      <c r="C305" s="920"/>
      <c r="D305" s="920"/>
      <c r="E305" s="920"/>
      <c r="F305" s="920"/>
      <c r="G305" s="920"/>
      <c r="V305" s="920"/>
      <c r="W305" s="920"/>
      <c r="X305" s="900"/>
      <c r="Y305" s="900"/>
      <c r="Z305" s="900"/>
    </row>
    <row r="306" spans="1:26">
      <c r="A306" s="900"/>
      <c r="B306" s="920"/>
      <c r="C306" s="920"/>
      <c r="D306" s="920"/>
      <c r="E306" s="920"/>
      <c r="F306" s="920"/>
      <c r="G306" s="920"/>
      <c r="V306" s="920"/>
      <c r="W306" s="920"/>
      <c r="X306" s="900"/>
      <c r="Y306" s="900"/>
      <c r="Z306" s="900"/>
    </row>
    <row r="307" spans="1:26">
      <c r="A307" s="900"/>
      <c r="B307" s="920"/>
      <c r="C307" s="920"/>
      <c r="D307" s="920"/>
      <c r="E307" s="920"/>
      <c r="F307" s="920"/>
      <c r="G307" s="920"/>
      <c r="V307" s="920"/>
      <c r="W307" s="920"/>
      <c r="X307" s="900"/>
      <c r="Y307" s="900"/>
      <c r="Z307" s="900"/>
    </row>
    <row r="308" spans="1:26">
      <c r="A308" s="900"/>
      <c r="B308" s="920"/>
      <c r="C308" s="920"/>
      <c r="D308" s="920"/>
      <c r="E308" s="920"/>
      <c r="F308" s="920"/>
      <c r="G308" s="920"/>
      <c r="V308" s="920"/>
      <c r="W308" s="920"/>
      <c r="X308" s="900"/>
      <c r="Y308" s="900"/>
      <c r="Z308" s="900"/>
    </row>
    <row r="309" spans="1:26">
      <c r="A309" s="900"/>
      <c r="B309" s="920"/>
      <c r="C309" s="920"/>
      <c r="D309" s="920"/>
      <c r="E309" s="920"/>
      <c r="F309" s="920"/>
      <c r="G309" s="920"/>
      <c r="V309" s="920"/>
      <c r="W309" s="920"/>
      <c r="X309" s="900"/>
      <c r="Y309" s="900"/>
      <c r="Z309" s="900"/>
    </row>
    <row r="310" spans="1:26">
      <c r="A310" s="900"/>
      <c r="B310" s="920"/>
      <c r="C310" s="920"/>
      <c r="D310" s="920"/>
      <c r="E310" s="920"/>
      <c r="F310" s="920"/>
      <c r="G310" s="920"/>
      <c r="V310" s="920"/>
      <c r="W310" s="920"/>
      <c r="X310" s="900"/>
      <c r="Y310" s="900"/>
      <c r="Z310" s="900"/>
    </row>
    <row r="311" spans="1:26">
      <c r="A311" s="900"/>
      <c r="B311" s="920"/>
      <c r="C311" s="920"/>
      <c r="D311" s="920"/>
      <c r="E311" s="920"/>
      <c r="F311" s="920"/>
      <c r="G311" s="920"/>
      <c r="V311" s="920"/>
      <c r="W311" s="920"/>
      <c r="X311" s="900"/>
      <c r="Y311" s="900"/>
      <c r="Z311" s="900"/>
    </row>
    <row r="312" spans="1:26">
      <c r="A312" s="900"/>
      <c r="B312" s="920"/>
      <c r="C312" s="920"/>
      <c r="D312" s="920"/>
      <c r="E312" s="920"/>
      <c r="F312" s="920"/>
      <c r="G312" s="920"/>
      <c r="V312" s="920"/>
      <c r="W312" s="920"/>
      <c r="X312" s="900"/>
      <c r="Y312" s="900"/>
      <c r="Z312" s="900"/>
    </row>
    <row r="313" spans="1:26">
      <c r="A313" s="900"/>
      <c r="B313" s="920"/>
      <c r="C313" s="920"/>
      <c r="D313" s="920"/>
      <c r="E313" s="920"/>
      <c r="F313" s="920"/>
      <c r="G313" s="920"/>
      <c r="V313" s="920"/>
      <c r="W313" s="920"/>
      <c r="X313" s="900"/>
      <c r="Y313" s="900"/>
      <c r="Z313" s="900"/>
    </row>
    <row r="314" spans="1:26">
      <c r="A314" s="900"/>
      <c r="B314" s="920"/>
      <c r="C314" s="920"/>
      <c r="D314" s="920"/>
      <c r="E314" s="920"/>
      <c r="F314" s="920"/>
      <c r="G314" s="920"/>
      <c r="V314" s="920"/>
      <c r="W314" s="920"/>
      <c r="X314" s="900"/>
      <c r="Y314" s="900"/>
      <c r="Z314" s="900"/>
    </row>
    <row r="315" spans="1:26">
      <c r="A315" s="900"/>
      <c r="B315" s="920"/>
      <c r="C315" s="920"/>
      <c r="D315" s="920"/>
      <c r="E315" s="920"/>
      <c r="F315" s="920"/>
      <c r="G315" s="920"/>
      <c r="V315" s="920"/>
      <c r="W315" s="920"/>
      <c r="X315" s="900"/>
      <c r="Y315" s="900"/>
      <c r="Z315" s="900"/>
    </row>
    <row r="316" spans="1:26">
      <c r="A316" s="900"/>
      <c r="B316" s="920"/>
      <c r="C316" s="920"/>
      <c r="D316" s="920"/>
      <c r="E316" s="920"/>
      <c r="F316" s="920"/>
      <c r="G316" s="920"/>
      <c r="V316" s="920"/>
      <c r="W316" s="920"/>
      <c r="X316" s="900"/>
      <c r="Y316" s="900"/>
      <c r="Z316" s="900"/>
    </row>
    <row r="317" spans="1:26">
      <c r="A317" s="900"/>
      <c r="B317" s="920"/>
      <c r="C317" s="920"/>
      <c r="D317" s="920"/>
      <c r="E317" s="920"/>
      <c r="F317" s="920"/>
      <c r="G317" s="920"/>
      <c r="V317" s="920"/>
      <c r="W317" s="920"/>
      <c r="X317" s="900"/>
      <c r="Y317" s="900"/>
      <c r="Z317" s="900"/>
    </row>
    <row r="318" spans="1:26">
      <c r="A318" s="900"/>
      <c r="B318" s="920"/>
      <c r="C318" s="920"/>
      <c r="D318" s="920"/>
      <c r="E318" s="920"/>
      <c r="F318" s="920"/>
      <c r="G318" s="920"/>
      <c r="V318" s="920"/>
      <c r="W318" s="920"/>
      <c r="X318" s="900"/>
      <c r="Y318" s="900"/>
      <c r="Z318" s="900"/>
    </row>
    <row r="319" spans="1:26">
      <c r="A319" s="900"/>
      <c r="B319" s="920"/>
      <c r="C319" s="920"/>
      <c r="D319" s="920"/>
      <c r="E319" s="920"/>
      <c r="F319" s="920"/>
      <c r="G319" s="920"/>
      <c r="V319" s="920"/>
      <c r="W319" s="920"/>
      <c r="X319" s="900"/>
      <c r="Y319" s="900"/>
      <c r="Z319" s="900"/>
    </row>
    <row r="320" spans="1:26">
      <c r="A320" s="900"/>
      <c r="B320" s="920"/>
      <c r="C320" s="920"/>
      <c r="D320" s="920"/>
      <c r="E320" s="920"/>
      <c r="F320" s="920"/>
      <c r="G320" s="920"/>
      <c r="V320" s="920"/>
      <c r="W320" s="920"/>
      <c r="X320" s="900"/>
      <c r="Y320" s="900"/>
      <c r="Z320" s="900"/>
    </row>
    <row r="321" spans="1:26">
      <c r="A321" s="900"/>
      <c r="B321" s="920"/>
      <c r="C321" s="920"/>
      <c r="D321" s="920"/>
      <c r="E321" s="920"/>
      <c r="F321" s="920"/>
      <c r="G321" s="920"/>
      <c r="V321" s="920"/>
      <c r="W321" s="920"/>
      <c r="X321" s="900"/>
      <c r="Y321" s="900"/>
      <c r="Z321" s="900"/>
    </row>
    <row r="322" spans="1:26">
      <c r="A322" s="900"/>
      <c r="B322" s="920"/>
      <c r="C322" s="920"/>
      <c r="D322" s="920"/>
      <c r="E322" s="920"/>
      <c r="F322" s="920"/>
      <c r="G322" s="920"/>
      <c r="V322" s="920"/>
      <c r="W322" s="920"/>
      <c r="X322" s="900"/>
      <c r="Y322" s="900"/>
      <c r="Z322" s="900"/>
    </row>
    <row r="323" spans="1:26">
      <c r="A323" s="900"/>
      <c r="B323" s="920"/>
      <c r="C323" s="920"/>
      <c r="D323" s="920"/>
      <c r="E323" s="920"/>
      <c r="F323" s="920"/>
      <c r="G323" s="920"/>
      <c r="V323" s="920"/>
      <c r="W323" s="920"/>
      <c r="X323" s="900"/>
      <c r="Y323" s="900"/>
      <c r="Z323" s="900"/>
    </row>
    <row r="324" spans="1:26">
      <c r="A324" s="900"/>
      <c r="B324" s="920"/>
      <c r="C324" s="920"/>
      <c r="D324" s="920"/>
      <c r="E324" s="920"/>
      <c r="F324" s="920"/>
      <c r="G324" s="920"/>
      <c r="V324" s="920"/>
      <c r="W324" s="920"/>
      <c r="X324" s="900"/>
      <c r="Y324" s="900"/>
      <c r="Z324" s="900"/>
    </row>
    <row r="325" spans="1:26">
      <c r="A325" s="900"/>
      <c r="B325" s="920"/>
      <c r="C325" s="920"/>
      <c r="D325" s="920"/>
      <c r="E325" s="920"/>
      <c r="F325" s="920"/>
      <c r="G325" s="920"/>
      <c r="V325" s="920"/>
      <c r="W325" s="920"/>
      <c r="X325" s="900"/>
      <c r="Y325" s="900"/>
      <c r="Z325" s="900"/>
    </row>
    <row r="326" spans="1:26">
      <c r="A326" s="900"/>
      <c r="B326" s="920"/>
      <c r="C326" s="920"/>
      <c r="D326" s="920"/>
      <c r="E326" s="920"/>
      <c r="F326" s="920"/>
      <c r="G326" s="920"/>
      <c r="V326" s="920"/>
      <c r="W326" s="920"/>
      <c r="X326" s="900"/>
      <c r="Y326" s="900"/>
      <c r="Z326" s="900"/>
    </row>
    <row r="327" spans="1:26">
      <c r="A327" s="900"/>
      <c r="B327" s="920"/>
      <c r="C327" s="920"/>
      <c r="D327" s="920"/>
      <c r="E327" s="920"/>
      <c r="F327" s="920"/>
      <c r="G327" s="920"/>
      <c r="V327" s="920"/>
      <c r="W327" s="920"/>
      <c r="X327" s="900"/>
      <c r="Y327" s="900"/>
      <c r="Z327" s="900"/>
    </row>
    <row r="328" spans="1:26">
      <c r="A328" s="900"/>
      <c r="B328" s="920"/>
      <c r="C328" s="920"/>
      <c r="D328" s="920"/>
      <c r="E328" s="920"/>
      <c r="F328" s="920"/>
      <c r="G328" s="920"/>
      <c r="V328" s="920"/>
      <c r="W328" s="920"/>
      <c r="X328" s="900"/>
      <c r="Y328" s="900"/>
      <c r="Z328" s="900"/>
    </row>
    <row r="329" spans="1:26">
      <c r="A329" s="900"/>
      <c r="B329" s="920"/>
      <c r="C329" s="920"/>
      <c r="D329" s="920"/>
      <c r="E329" s="920"/>
      <c r="F329" s="920"/>
      <c r="G329" s="920"/>
      <c r="V329" s="920"/>
      <c r="W329" s="920"/>
      <c r="X329" s="900"/>
      <c r="Y329" s="900"/>
      <c r="Z329" s="900"/>
    </row>
    <row r="330" spans="1:26">
      <c r="A330" s="900"/>
      <c r="B330" s="920"/>
      <c r="C330" s="920"/>
      <c r="D330" s="920"/>
      <c r="E330" s="920"/>
      <c r="F330" s="920"/>
      <c r="G330" s="920"/>
      <c r="V330" s="920"/>
      <c r="W330" s="920"/>
      <c r="X330" s="900"/>
      <c r="Y330" s="900"/>
      <c r="Z330" s="900"/>
    </row>
    <row r="331" spans="1:26">
      <c r="A331" s="900"/>
      <c r="B331" s="920"/>
      <c r="C331" s="920"/>
      <c r="D331" s="920"/>
      <c r="E331" s="920"/>
      <c r="F331" s="920"/>
      <c r="G331" s="920"/>
      <c r="V331" s="920"/>
      <c r="W331" s="920"/>
      <c r="X331" s="900"/>
      <c r="Y331" s="900"/>
      <c r="Z331" s="900"/>
    </row>
    <row r="332" spans="1:26">
      <c r="A332" s="900"/>
      <c r="B332" s="920"/>
      <c r="C332" s="920"/>
      <c r="D332" s="920"/>
      <c r="E332" s="920"/>
      <c r="F332" s="920"/>
      <c r="G332" s="920"/>
      <c r="V332" s="920"/>
      <c r="W332" s="920"/>
      <c r="X332" s="900"/>
      <c r="Y332" s="900"/>
      <c r="Z332" s="900"/>
    </row>
    <row r="333" spans="1:26">
      <c r="A333" s="900"/>
      <c r="B333" s="920"/>
      <c r="C333" s="920"/>
      <c r="D333" s="920"/>
      <c r="E333" s="920"/>
      <c r="F333" s="920"/>
      <c r="G333" s="920"/>
      <c r="V333" s="920"/>
      <c r="W333" s="920"/>
      <c r="X333" s="900"/>
      <c r="Y333" s="900"/>
      <c r="Z333" s="900"/>
    </row>
    <row r="334" spans="1:26">
      <c r="A334" s="900"/>
      <c r="B334" s="920"/>
      <c r="C334" s="920"/>
      <c r="D334" s="920"/>
      <c r="E334" s="920"/>
      <c r="F334" s="920"/>
      <c r="G334" s="920"/>
      <c r="V334" s="920"/>
      <c r="W334" s="920"/>
      <c r="X334" s="900"/>
      <c r="Y334" s="900"/>
      <c r="Z334" s="900"/>
    </row>
    <row r="335" spans="1:26">
      <c r="A335" s="900"/>
      <c r="B335" s="920"/>
      <c r="C335" s="920"/>
      <c r="D335" s="920"/>
      <c r="E335" s="920"/>
      <c r="F335" s="920"/>
      <c r="G335" s="920"/>
      <c r="V335" s="920"/>
      <c r="W335" s="920"/>
      <c r="X335" s="900"/>
      <c r="Y335" s="900"/>
      <c r="Z335" s="900"/>
    </row>
    <row r="336" spans="1:26">
      <c r="A336" s="900"/>
      <c r="B336" s="920"/>
      <c r="C336" s="920"/>
      <c r="D336" s="920"/>
      <c r="E336" s="920"/>
      <c r="F336" s="920"/>
      <c r="G336" s="920"/>
      <c r="V336" s="920"/>
      <c r="W336" s="920"/>
      <c r="X336" s="900"/>
      <c r="Y336" s="900"/>
      <c r="Z336" s="900"/>
    </row>
    <row r="337" spans="1:26">
      <c r="A337" s="900"/>
      <c r="B337" s="920"/>
      <c r="C337" s="920"/>
      <c r="D337" s="920"/>
      <c r="E337" s="920"/>
      <c r="F337" s="920"/>
      <c r="G337" s="920"/>
      <c r="V337" s="920"/>
      <c r="W337" s="920"/>
      <c r="X337" s="900"/>
      <c r="Y337" s="900"/>
      <c r="Z337" s="900"/>
    </row>
    <row r="338" spans="1:26">
      <c r="A338" s="900"/>
      <c r="B338" s="920"/>
      <c r="C338" s="920"/>
      <c r="D338" s="920"/>
      <c r="E338" s="920"/>
      <c r="F338" s="920"/>
      <c r="G338" s="920"/>
      <c r="V338" s="920"/>
      <c r="W338" s="920"/>
      <c r="X338" s="900"/>
      <c r="Y338" s="900"/>
      <c r="Z338" s="900"/>
    </row>
    <row r="339" spans="1:26">
      <c r="A339" s="900"/>
      <c r="B339" s="920"/>
      <c r="C339" s="920"/>
      <c r="D339" s="920"/>
      <c r="E339" s="920"/>
      <c r="F339" s="920"/>
      <c r="G339" s="920"/>
      <c r="V339" s="920"/>
      <c r="W339" s="920"/>
      <c r="X339" s="900"/>
      <c r="Y339" s="900"/>
      <c r="Z339" s="900"/>
    </row>
    <row r="340" spans="1:26">
      <c r="A340" s="900"/>
      <c r="B340" s="920"/>
      <c r="C340" s="920"/>
      <c r="D340" s="920"/>
      <c r="E340" s="920"/>
      <c r="F340" s="920"/>
      <c r="G340" s="920"/>
      <c r="V340" s="920"/>
      <c r="W340" s="920"/>
      <c r="X340" s="900"/>
      <c r="Y340" s="900"/>
      <c r="Z340" s="900"/>
    </row>
    <row r="341" spans="1:26">
      <c r="A341" s="900"/>
      <c r="B341" s="920"/>
      <c r="C341" s="920"/>
      <c r="D341" s="920"/>
      <c r="E341" s="920"/>
      <c r="F341" s="920"/>
      <c r="G341" s="920"/>
      <c r="V341" s="920"/>
      <c r="W341" s="920"/>
      <c r="X341" s="900"/>
      <c r="Y341" s="900"/>
      <c r="Z341" s="900"/>
    </row>
    <row r="342" spans="1:26">
      <c r="A342" s="900"/>
      <c r="B342" s="920"/>
      <c r="C342" s="920"/>
      <c r="D342" s="920"/>
      <c r="E342" s="920"/>
      <c r="F342" s="920"/>
      <c r="G342" s="920"/>
      <c r="V342" s="920"/>
      <c r="W342" s="920"/>
      <c r="X342" s="900"/>
      <c r="Y342" s="900"/>
      <c r="Z342" s="900"/>
    </row>
    <row r="343" spans="1:26">
      <c r="A343" s="900"/>
      <c r="B343" s="920"/>
      <c r="C343" s="920"/>
      <c r="D343" s="920"/>
      <c r="E343" s="920"/>
      <c r="F343" s="920"/>
      <c r="G343" s="920"/>
      <c r="V343" s="920"/>
      <c r="W343" s="920"/>
      <c r="X343" s="900"/>
      <c r="Y343" s="900"/>
      <c r="Z343" s="900"/>
    </row>
    <row r="344" spans="1:26">
      <c r="A344" s="900"/>
      <c r="B344" s="920"/>
      <c r="C344" s="920"/>
      <c r="D344" s="920"/>
      <c r="E344" s="920"/>
      <c r="F344" s="920"/>
      <c r="G344" s="920"/>
      <c r="V344" s="920"/>
      <c r="W344" s="920"/>
      <c r="X344" s="900"/>
      <c r="Y344" s="900"/>
      <c r="Z344" s="900"/>
    </row>
    <row r="345" spans="1:26">
      <c r="A345" s="900"/>
      <c r="B345" s="920"/>
      <c r="C345" s="920"/>
      <c r="D345" s="920"/>
      <c r="E345" s="920"/>
      <c r="F345" s="920"/>
      <c r="G345" s="920"/>
      <c r="V345" s="920"/>
      <c r="W345" s="920"/>
      <c r="X345" s="900"/>
      <c r="Y345" s="900"/>
      <c r="Z345" s="900"/>
    </row>
    <row r="346" spans="1:26">
      <c r="A346" s="900"/>
      <c r="B346" s="920"/>
      <c r="C346" s="920"/>
      <c r="D346" s="920"/>
      <c r="E346" s="920"/>
      <c r="F346" s="920"/>
      <c r="G346" s="920"/>
      <c r="V346" s="920"/>
      <c r="W346" s="920"/>
      <c r="X346" s="900"/>
      <c r="Y346" s="900"/>
      <c r="Z346" s="900"/>
    </row>
    <row r="347" spans="1:26">
      <c r="A347" s="900"/>
      <c r="B347" s="920"/>
      <c r="C347" s="920"/>
      <c r="D347" s="920"/>
      <c r="E347" s="920"/>
      <c r="F347" s="920"/>
      <c r="G347" s="920"/>
      <c r="V347" s="920"/>
      <c r="W347" s="920"/>
      <c r="X347" s="900"/>
      <c r="Y347" s="900"/>
      <c r="Z347" s="900"/>
    </row>
    <row r="348" spans="1:26">
      <c r="A348" s="900"/>
      <c r="B348" s="920"/>
      <c r="C348" s="920"/>
      <c r="D348" s="920"/>
      <c r="E348" s="920"/>
      <c r="F348" s="920"/>
      <c r="G348" s="920"/>
      <c r="V348" s="920"/>
      <c r="W348" s="920"/>
      <c r="X348" s="900"/>
      <c r="Y348" s="900"/>
      <c r="Z348" s="900"/>
    </row>
    <row r="349" spans="1:26">
      <c r="A349" s="900"/>
      <c r="B349" s="920"/>
      <c r="C349" s="920"/>
      <c r="D349" s="920"/>
      <c r="E349" s="920"/>
      <c r="F349" s="920"/>
      <c r="G349" s="920"/>
      <c r="V349" s="920"/>
      <c r="W349" s="920"/>
      <c r="X349" s="900"/>
      <c r="Y349" s="900"/>
      <c r="Z349" s="900"/>
    </row>
    <row r="350" spans="1:26">
      <c r="A350" s="900"/>
      <c r="B350" s="920"/>
      <c r="C350" s="920"/>
      <c r="D350" s="920"/>
      <c r="E350" s="920"/>
      <c r="F350" s="920"/>
      <c r="G350" s="920"/>
      <c r="V350" s="920"/>
      <c r="W350" s="920"/>
      <c r="X350" s="900"/>
      <c r="Y350" s="900"/>
      <c r="Z350" s="900"/>
    </row>
    <row r="351" spans="1:26">
      <c r="B351" s="920"/>
      <c r="C351" s="920"/>
      <c r="D351" s="920"/>
      <c r="E351" s="920"/>
      <c r="F351" s="920"/>
      <c r="G351" s="920"/>
      <c r="V351" s="920"/>
      <c r="W351" s="920"/>
    </row>
    <row r="352" spans="1:26" ht="13.5" thickBot="1">
      <c r="B352" s="920"/>
      <c r="C352" s="920"/>
      <c r="D352" s="920"/>
      <c r="E352" s="920"/>
      <c r="F352" s="920"/>
      <c r="G352" s="920"/>
      <c r="V352" s="920"/>
      <c r="W352" s="920"/>
    </row>
    <row r="353" spans="1:26">
      <c r="A353" s="928"/>
      <c r="B353" s="929"/>
      <c r="C353" s="929"/>
      <c r="D353" s="930"/>
      <c r="E353" s="930"/>
      <c r="F353" s="930"/>
      <c r="G353" s="930"/>
      <c r="H353" s="930"/>
      <c r="I353" s="930"/>
      <c r="J353" s="930"/>
      <c r="K353" s="930"/>
      <c r="L353" s="1625"/>
      <c r="M353" s="930"/>
      <c r="N353" s="930"/>
      <c r="O353" s="930"/>
      <c r="P353" s="930"/>
      <c r="Q353" s="930"/>
      <c r="R353" s="930"/>
      <c r="S353" s="930"/>
      <c r="T353" s="930"/>
      <c r="U353" s="930"/>
      <c r="V353" s="930"/>
      <c r="W353" s="930"/>
      <c r="X353" s="931"/>
      <c r="Y353" s="932"/>
      <c r="Z353" s="932"/>
    </row>
    <row r="354" spans="1:26">
      <c r="A354" s="933"/>
      <c r="B354" s="920"/>
      <c r="C354" s="920"/>
      <c r="D354" s="920"/>
      <c r="E354" s="920"/>
      <c r="F354" s="920"/>
      <c r="G354" s="920"/>
      <c r="V354" s="920"/>
      <c r="W354" s="920"/>
      <c r="X354" s="934"/>
      <c r="Y354" s="867"/>
      <c r="Z354" s="867"/>
    </row>
    <row r="355" spans="1:26">
      <c r="A355" s="933"/>
      <c r="B355" s="920"/>
      <c r="C355" s="920"/>
      <c r="D355" s="920"/>
      <c r="E355" s="920"/>
      <c r="F355" s="920"/>
      <c r="G355" s="920"/>
      <c r="V355" s="920"/>
      <c r="W355" s="920"/>
      <c r="X355" s="934"/>
      <c r="Y355" s="867"/>
      <c r="Z355" s="867"/>
    </row>
    <row r="356" spans="1:26">
      <c r="A356" s="933"/>
      <c r="B356" s="920"/>
      <c r="C356" s="920"/>
      <c r="D356" s="920"/>
      <c r="E356" s="920"/>
      <c r="F356" s="920"/>
      <c r="G356" s="920"/>
      <c r="V356" s="920"/>
      <c r="W356" s="920"/>
      <c r="X356" s="934"/>
      <c r="Y356" s="867"/>
      <c r="Z356" s="867"/>
    </row>
    <row r="357" spans="1:26">
      <c r="A357" s="933"/>
      <c r="B357" s="920"/>
      <c r="C357" s="920"/>
      <c r="D357" s="920"/>
      <c r="E357" s="920"/>
      <c r="F357" s="920"/>
      <c r="G357" s="920"/>
      <c r="V357" s="920"/>
      <c r="W357" s="920"/>
      <c r="X357" s="934"/>
      <c r="Y357" s="867"/>
      <c r="Z357" s="867"/>
    </row>
    <row r="358" spans="1:26">
      <c r="A358" s="933"/>
      <c r="B358" s="920"/>
      <c r="C358" s="920"/>
      <c r="D358" s="920"/>
      <c r="E358" s="920"/>
      <c r="F358" s="920"/>
      <c r="G358" s="920"/>
      <c r="V358" s="920"/>
      <c r="W358" s="920"/>
      <c r="X358" s="934"/>
      <c r="Y358" s="867"/>
      <c r="Z358" s="867"/>
    </row>
    <row r="359" spans="1:26">
      <c r="A359" s="933"/>
      <c r="B359" s="920"/>
      <c r="C359" s="920"/>
      <c r="D359" s="920"/>
      <c r="E359" s="920"/>
      <c r="F359" s="920"/>
      <c r="G359" s="920"/>
      <c r="V359" s="920"/>
      <c r="W359" s="920"/>
      <c r="X359" s="934"/>
      <c r="Y359" s="867"/>
      <c r="Z359" s="867"/>
    </row>
    <row r="360" spans="1:26">
      <c r="A360" s="933"/>
      <c r="B360" s="920"/>
      <c r="C360" s="920"/>
      <c r="D360" s="920"/>
      <c r="E360" s="920"/>
      <c r="F360" s="920"/>
      <c r="G360" s="920"/>
      <c r="V360" s="920"/>
      <c r="W360" s="920"/>
      <c r="X360" s="934"/>
      <c r="Y360" s="867"/>
      <c r="Z360" s="867"/>
    </row>
    <row r="361" spans="1:26">
      <c r="A361" s="933"/>
      <c r="B361" s="920"/>
      <c r="C361" s="920"/>
      <c r="D361" s="920"/>
      <c r="E361" s="920"/>
      <c r="F361" s="920"/>
      <c r="G361" s="920"/>
      <c r="V361" s="920"/>
      <c r="W361" s="920"/>
      <c r="X361" s="934"/>
      <c r="Y361" s="867"/>
      <c r="Z361" s="867"/>
    </row>
    <row r="362" spans="1:26">
      <c r="A362" s="933"/>
      <c r="B362" s="920"/>
      <c r="C362" s="920"/>
      <c r="D362" s="920"/>
      <c r="E362" s="920"/>
      <c r="F362" s="920"/>
      <c r="G362" s="920"/>
      <c r="V362" s="920"/>
      <c r="W362" s="920"/>
      <c r="X362" s="934"/>
      <c r="Y362" s="867"/>
      <c r="Z362" s="867"/>
    </row>
    <row r="363" spans="1:26">
      <c r="A363" s="933"/>
      <c r="B363" s="920"/>
      <c r="C363" s="920"/>
      <c r="D363" s="920"/>
      <c r="E363" s="920"/>
      <c r="F363" s="920"/>
      <c r="G363" s="920"/>
      <c r="V363" s="920"/>
      <c r="W363" s="920"/>
      <c r="X363" s="934"/>
      <c r="Y363" s="867"/>
      <c r="Z363" s="867"/>
    </row>
    <row r="364" spans="1:26" ht="13.5" thickBot="1">
      <c r="A364" s="935"/>
      <c r="B364" s="936"/>
      <c r="C364" s="936"/>
      <c r="D364" s="936"/>
      <c r="E364" s="936"/>
      <c r="F364" s="936"/>
      <c r="G364" s="936"/>
      <c r="H364" s="936"/>
      <c r="I364" s="936"/>
      <c r="J364" s="936"/>
      <c r="K364" s="936"/>
      <c r="L364" s="1626"/>
      <c r="M364" s="936"/>
      <c r="N364" s="936"/>
      <c r="O364" s="936"/>
      <c r="P364" s="936"/>
      <c r="Q364" s="936"/>
      <c r="R364" s="936"/>
      <c r="S364" s="936"/>
      <c r="T364" s="936"/>
      <c r="U364" s="936"/>
      <c r="V364" s="936"/>
      <c r="W364" s="936"/>
      <c r="X364" s="937"/>
      <c r="Y364" s="868"/>
      <c r="Z364" s="868"/>
    </row>
    <row r="365" spans="1:26">
      <c r="B365" s="920"/>
      <c r="C365" s="920"/>
      <c r="D365" s="920"/>
      <c r="E365" s="920"/>
      <c r="F365" s="920"/>
      <c r="G365" s="920"/>
      <c r="V365" s="920"/>
      <c r="W365" s="920"/>
    </row>
    <row r="366" spans="1:26">
      <c r="B366" s="920"/>
      <c r="C366" s="920"/>
      <c r="D366" s="920"/>
      <c r="E366" s="920"/>
      <c r="F366" s="920"/>
      <c r="G366" s="920"/>
      <c r="V366" s="920"/>
      <c r="W366" s="920"/>
    </row>
    <row r="367" spans="1:26">
      <c r="A367" s="900"/>
      <c r="B367" s="920"/>
      <c r="C367" s="920"/>
      <c r="D367" s="920"/>
      <c r="E367" s="920"/>
      <c r="F367" s="920"/>
      <c r="G367" s="920"/>
      <c r="V367" s="920"/>
      <c r="W367" s="920"/>
      <c r="X367" s="900"/>
      <c r="Y367" s="900"/>
      <c r="Z367" s="900"/>
    </row>
    <row r="368" spans="1:26">
      <c r="A368" s="900"/>
      <c r="B368" s="920"/>
      <c r="C368" s="920"/>
      <c r="D368" s="920"/>
      <c r="E368" s="920"/>
      <c r="F368" s="920"/>
      <c r="G368" s="920"/>
      <c r="V368" s="920"/>
      <c r="W368" s="920"/>
      <c r="X368" s="900"/>
      <c r="Y368" s="900"/>
      <c r="Z368" s="900"/>
    </row>
    <row r="369" spans="1:26">
      <c r="A369" s="900"/>
      <c r="B369" s="920"/>
      <c r="C369" s="920"/>
      <c r="D369" s="920"/>
      <c r="E369" s="920"/>
      <c r="F369" s="920"/>
      <c r="G369" s="920"/>
      <c r="V369" s="920"/>
      <c r="W369" s="920"/>
      <c r="X369" s="900"/>
      <c r="Y369" s="900"/>
      <c r="Z369" s="900"/>
    </row>
    <row r="370" spans="1:26">
      <c r="A370" s="900"/>
      <c r="B370" s="920"/>
      <c r="C370" s="920"/>
      <c r="D370" s="920"/>
      <c r="E370" s="920"/>
      <c r="F370" s="920"/>
      <c r="G370" s="920"/>
      <c r="V370" s="920"/>
      <c r="W370" s="920"/>
      <c r="X370" s="900"/>
      <c r="Y370" s="900"/>
      <c r="Z370" s="900"/>
    </row>
    <row r="371" spans="1:26">
      <c r="A371" s="900"/>
      <c r="B371" s="920"/>
      <c r="C371" s="920"/>
      <c r="D371" s="920"/>
      <c r="E371" s="920"/>
      <c r="F371" s="920"/>
      <c r="G371" s="920"/>
      <c r="V371" s="920"/>
      <c r="W371" s="920"/>
      <c r="X371" s="900"/>
      <c r="Y371" s="900"/>
      <c r="Z371" s="900"/>
    </row>
    <row r="372" spans="1:26">
      <c r="A372" s="900"/>
      <c r="B372" s="920"/>
      <c r="C372" s="920"/>
      <c r="D372" s="920"/>
      <c r="E372" s="920"/>
      <c r="F372" s="920"/>
      <c r="G372" s="920"/>
      <c r="V372" s="920"/>
      <c r="W372" s="920"/>
      <c r="X372" s="900"/>
      <c r="Y372" s="900"/>
      <c r="Z372" s="900"/>
    </row>
    <row r="373" spans="1:26">
      <c r="A373" s="900"/>
      <c r="B373" s="920"/>
      <c r="C373" s="920"/>
      <c r="D373" s="920"/>
      <c r="E373" s="920"/>
      <c r="F373" s="920"/>
      <c r="G373" s="920"/>
      <c r="V373" s="920"/>
      <c r="W373" s="920"/>
      <c r="X373" s="900"/>
      <c r="Y373" s="900"/>
      <c r="Z373" s="900"/>
    </row>
    <row r="374" spans="1:26">
      <c r="A374" s="900"/>
      <c r="B374" s="920"/>
      <c r="C374" s="920"/>
      <c r="D374" s="920"/>
      <c r="E374" s="920"/>
      <c r="F374" s="920"/>
      <c r="G374" s="920"/>
      <c r="V374" s="920"/>
      <c r="W374" s="920"/>
      <c r="X374" s="900"/>
      <c r="Y374" s="900"/>
      <c r="Z374" s="900"/>
    </row>
    <row r="375" spans="1:26">
      <c r="A375" s="900"/>
      <c r="B375" s="920"/>
      <c r="C375" s="920"/>
      <c r="D375" s="920"/>
      <c r="E375" s="920"/>
      <c r="F375" s="920"/>
      <c r="G375" s="920"/>
      <c r="V375" s="920"/>
      <c r="W375" s="920"/>
      <c r="X375" s="900"/>
      <c r="Y375" s="900"/>
      <c r="Z375" s="900"/>
    </row>
    <row r="376" spans="1:26">
      <c r="A376" s="900"/>
      <c r="B376" s="920"/>
      <c r="C376" s="920"/>
      <c r="D376" s="920"/>
      <c r="E376" s="920"/>
      <c r="F376" s="920"/>
      <c r="G376" s="920"/>
      <c r="V376" s="920"/>
      <c r="W376" s="920"/>
      <c r="X376" s="900"/>
      <c r="Y376" s="900"/>
      <c r="Z376" s="900"/>
    </row>
    <row r="377" spans="1:26">
      <c r="A377" s="900"/>
      <c r="B377" s="920"/>
      <c r="C377" s="920"/>
      <c r="D377" s="920"/>
      <c r="E377" s="920"/>
      <c r="F377" s="920"/>
      <c r="G377" s="920"/>
      <c r="V377" s="920"/>
      <c r="W377" s="920"/>
      <c r="X377" s="900"/>
      <c r="Y377" s="900"/>
      <c r="Z377" s="900"/>
    </row>
    <row r="378" spans="1:26">
      <c r="A378" s="900"/>
      <c r="B378" s="920"/>
      <c r="C378" s="920"/>
      <c r="D378" s="920"/>
      <c r="E378" s="920"/>
      <c r="F378" s="920"/>
      <c r="G378" s="920"/>
      <c r="V378" s="920"/>
      <c r="W378" s="920"/>
      <c r="X378" s="900"/>
      <c r="Y378" s="900"/>
      <c r="Z378" s="900"/>
    </row>
    <row r="379" spans="1:26">
      <c r="A379" s="900"/>
      <c r="B379" s="920"/>
      <c r="C379" s="920"/>
      <c r="D379" s="920"/>
      <c r="E379" s="920"/>
      <c r="F379" s="920"/>
      <c r="G379" s="920"/>
      <c r="V379" s="920"/>
      <c r="W379" s="920"/>
      <c r="X379" s="900"/>
      <c r="Y379" s="900"/>
      <c r="Z379" s="900"/>
    </row>
    <row r="380" spans="1:26">
      <c r="A380" s="900"/>
      <c r="B380" s="920"/>
      <c r="C380" s="920"/>
      <c r="D380" s="920"/>
      <c r="E380" s="920"/>
      <c r="F380" s="920"/>
      <c r="G380" s="920"/>
      <c r="V380" s="920"/>
      <c r="W380" s="920"/>
      <c r="X380" s="900"/>
      <c r="Y380" s="900"/>
      <c r="Z380" s="900"/>
    </row>
    <row r="381" spans="1:26">
      <c r="A381" s="900"/>
      <c r="B381" s="920"/>
      <c r="C381" s="920"/>
      <c r="D381" s="920"/>
      <c r="E381" s="920"/>
      <c r="F381" s="920"/>
      <c r="G381" s="920"/>
      <c r="V381" s="920"/>
      <c r="W381" s="920"/>
      <c r="X381" s="900"/>
      <c r="Y381" s="900"/>
      <c r="Z381" s="900"/>
    </row>
    <row r="382" spans="1:26">
      <c r="A382" s="900"/>
      <c r="B382" s="920"/>
      <c r="C382" s="920"/>
      <c r="D382" s="920"/>
      <c r="E382" s="920"/>
      <c r="F382" s="920"/>
      <c r="G382" s="920"/>
      <c r="V382" s="920"/>
      <c r="W382" s="920"/>
      <c r="X382" s="900"/>
      <c r="Y382" s="900"/>
      <c r="Z382" s="900"/>
    </row>
    <row r="383" spans="1:26">
      <c r="A383" s="900"/>
      <c r="B383" s="920"/>
      <c r="C383" s="920"/>
      <c r="D383" s="920"/>
      <c r="E383" s="920"/>
      <c r="F383" s="920"/>
      <c r="G383" s="920"/>
      <c r="V383" s="920"/>
      <c r="W383" s="920"/>
      <c r="X383" s="900"/>
      <c r="Y383" s="900"/>
      <c r="Z383" s="900"/>
    </row>
    <row r="384" spans="1:26">
      <c r="A384" s="900"/>
      <c r="B384" s="920"/>
      <c r="C384" s="920"/>
      <c r="D384" s="920"/>
      <c r="E384" s="920"/>
      <c r="F384" s="920"/>
      <c r="G384" s="920"/>
      <c r="V384" s="920"/>
      <c r="W384" s="920"/>
      <c r="X384" s="900"/>
      <c r="Y384" s="900"/>
      <c r="Z384" s="900"/>
    </row>
    <row r="385" spans="1:26">
      <c r="A385" s="900"/>
      <c r="B385" s="920"/>
      <c r="C385" s="920"/>
      <c r="D385" s="920"/>
      <c r="E385" s="920"/>
      <c r="F385" s="920"/>
      <c r="G385" s="920"/>
      <c r="V385" s="920"/>
      <c r="W385" s="920"/>
      <c r="X385" s="900"/>
      <c r="Y385" s="900"/>
      <c r="Z385" s="900"/>
    </row>
    <row r="386" spans="1:26">
      <c r="A386" s="900"/>
      <c r="B386" s="920"/>
      <c r="C386" s="920"/>
      <c r="D386" s="920"/>
      <c r="E386" s="920"/>
      <c r="F386" s="920"/>
      <c r="G386" s="920"/>
      <c r="V386" s="920"/>
      <c r="W386" s="920"/>
      <c r="X386" s="900"/>
      <c r="Y386" s="900"/>
      <c r="Z386" s="900"/>
    </row>
    <row r="387" spans="1:26">
      <c r="A387" s="900"/>
      <c r="B387" s="920"/>
      <c r="C387" s="920"/>
      <c r="D387" s="920"/>
      <c r="E387" s="920"/>
      <c r="F387" s="920"/>
      <c r="G387" s="920"/>
      <c r="V387" s="920"/>
      <c r="W387" s="920"/>
      <c r="X387" s="900"/>
      <c r="Y387" s="900"/>
      <c r="Z387" s="900"/>
    </row>
    <row r="388" spans="1:26">
      <c r="A388" s="900"/>
      <c r="B388" s="920"/>
      <c r="C388" s="920"/>
      <c r="D388" s="920"/>
      <c r="E388" s="920"/>
      <c r="F388" s="920"/>
      <c r="G388" s="920"/>
      <c r="V388" s="920"/>
      <c r="W388" s="920"/>
      <c r="X388" s="900"/>
      <c r="Y388" s="900"/>
      <c r="Z388" s="900"/>
    </row>
    <row r="389" spans="1:26">
      <c r="A389" s="900"/>
      <c r="B389" s="920"/>
      <c r="C389" s="920"/>
      <c r="D389" s="920"/>
      <c r="E389" s="920"/>
      <c r="F389" s="920"/>
      <c r="G389" s="920"/>
      <c r="V389" s="920"/>
      <c r="W389" s="920"/>
      <c r="X389" s="900"/>
      <c r="Y389" s="900"/>
      <c r="Z389" s="900"/>
    </row>
    <row r="390" spans="1:26">
      <c r="A390" s="900"/>
      <c r="B390" s="920"/>
      <c r="C390" s="920"/>
      <c r="D390" s="920"/>
      <c r="E390" s="920"/>
      <c r="F390" s="920"/>
      <c r="G390" s="920"/>
      <c r="V390" s="920"/>
      <c r="W390" s="920"/>
      <c r="X390" s="900"/>
      <c r="Y390" s="900"/>
      <c r="Z390" s="900"/>
    </row>
    <row r="391" spans="1:26">
      <c r="A391" s="900"/>
      <c r="B391" s="920"/>
      <c r="C391" s="920"/>
      <c r="D391" s="920"/>
      <c r="E391" s="920"/>
      <c r="F391" s="920"/>
      <c r="G391" s="920"/>
      <c r="V391" s="920"/>
      <c r="W391" s="920"/>
      <c r="X391" s="900"/>
      <c r="Y391" s="900"/>
      <c r="Z391" s="900"/>
    </row>
    <row r="392" spans="1:26">
      <c r="A392" s="900"/>
      <c r="B392" s="920"/>
      <c r="C392" s="920"/>
      <c r="D392" s="920"/>
      <c r="E392" s="920"/>
      <c r="F392" s="920"/>
      <c r="G392" s="920"/>
      <c r="V392" s="920"/>
      <c r="W392" s="920"/>
      <c r="X392" s="900"/>
      <c r="Y392" s="900"/>
      <c r="Z392" s="900"/>
    </row>
    <row r="393" spans="1:26">
      <c r="A393" s="900"/>
      <c r="B393" s="920"/>
      <c r="C393" s="920"/>
      <c r="D393" s="920"/>
      <c r="E393" s="920"/>
      <c r="F393" s="920"/>
      <c r="G393" s="920"/>
      <c r="V393" s="920"/>
      <c r="W393" s="920"/>
      <c r="X393" s="900"/>
      <c r="Y393" s="900"/>
      <c r="Z393" s="900"/>
    </row>
    <row r="394" spans="1:26">
      <c r="A394" s="900"/>
      <c r="B394" s="920"/>
      <c r="C394" s="920"/>
      <c r="D394" s="920"/>
      <c r="E394" s="920"/>
      <c r="F394" s="920"/>
      <c r="G394" s="920"/>
      <c r="V394" s="920"/>
      <c r="W394" s="920"/>
      <c r="X394" s="900"/>
      <c r="Y394" s="900"/>
      <c r="Z394" s="900"/>
    </row>
    <row r="395" spans="1:26">
      <c r="A395" s="900"/>
      <c r="B395" s="920"/>
      <c r="C395" s="920"/>
      <c r="D395" s="920"/>
      <c r="E395" s="920"/>
      <c r="F395" s="920"/>
      <c r="G395" s="920"/>
      <c r="V395" s="920"/>
      <c r="W395" s="920"/>
      <c r="X395" s="900"/>
      <c r="Y395" s="900"/>
      <c r="Z395" s="900"/>
    </row>
    <row r="396" spans="1:26">
      <c r="A396" s="900"/>
      <c r="B396" s="920"/>
      <c r="C396" s="920"/>
      <c r="D396" s="920"/>
      <c r="E396" s="920"/>
      <c r="F396" s="920"/>
      <c r="G396" s="920"/>
      <c r="V396" s="920"/>
      <c r="W396" s="920"/>
      <c r="X396" s="900"/>
      <c r="Y396" s="900"/>
      <c r="Z396" s="900"/>
    </row>
    <row r="397" spans="1:26">
      <c r="A397" s="900"/>
      <c r="B397" s="920"/>
      <c r="C397" s="920"/>
      <c r="D397" s="920"/>
      <c r="E397" s="920"/>
      <c r="F397" s="920"/>
      <c r="G397" s="920"/>
      <c r="V397" s="920"/>
      <c r="W397" s="920"/>
      <c r="X397" s="900"/>
      <c r="Y397" s="900"/>
      <c r="Z397" s="900"/>
    </row>
    <row r="398" spans="1:26">
      <c r="A398" s="900"/>
      <c r="B398" s="920"/>
      <c r="C398" s="920"/>
      <c r="D398" s="920"/>
      <c r="E398" s="920"/>
      <c r="F398" s="920"/>
      <c r="G398" s="920"/>
      <c r="V398" s="920"/>
      <c r="W398" s="920"/>
      <c r="X398" s="900"/>
      <c r="Y398" s="900"/>
      <c r="Z398" s="900"/>
    </row>
    <row r="399" spans="1:26">
      <c r="A399" s="900"/>
      <c r="B399" s="920"/>
      <c r="C399" s="920"/>
      <c r="D399" s="920"/>
      <c r="E399" s="920"/>
      <c r="F399" s="920"/>
      <c r="G399" s="920"/>
      <c r="V399" s="920"/>
      <c r="W399" s="920"/>
      <c r="X399" s="900"/>
      <c r="Y399" s="900"/>
      <c r="Z399" s="900"/>
    </row>
    <row r="400" spans="1:26">
      <c r="A400" s="900"/>
      <c r="B400" s="920"/>
      <c r="C400" s="920"/>
      <c r="D400" s="920"/>
      <c r="E400" s="920"/>
      <c r="F400" s="920"/>
      <c r="G400" s="920"/>
      <c r="V400" s="920"/>
      <c r="W400" s="920"/>
      <c r="X400" s="900"/>
      <c r="Y400" s="900"/>
      <c r="Z400" s="900"/>
    </row>
    <row r="401" spans="1:26">
      <c r="A401" s="900"/>
      <c r="B401" s="920"/>
      <c r="C401" s="920"/>
      <c r="D401" s="920"/>
      <c r="E401" s="920"/>
      <c r="F401" s="920"/>
      <c r="G401" s="920"/>
      <c r="V401" s="920"/>
      <c r="W401" s="920"/>
      <c r="X401" s="900"/>
      <c r="Y401" s="900"/>
      <c r="Z401" s="900"/>
    </row>
    <row r="402" spans="1:26">
      <c r="A402" s="900"/>
      <c r="B402" s="920"/>
      <c r="C402" s="920"/>
      <c r="D402" s="920"/>
      <c r="E402" s="920"/>
      <c r="F402" s="920"/>
      <c r="G402" s="920"/>
      <c r="V402" s="920"/>
      <c r="W402" s="920"/>
      <c r="X402" s="900"/>
      <c r="Y402" s="900"/>
      <c r="Z402" s="900"/>
    </row>
    <row r="403" spans="1:26">
      <c r="A403" s="900"/>
      <c r="B403" s="920"/>
      <c r="C403" s="920"/>
      <c r="D403" s="920"/>
      <c r="E403" s="920"/>
      <c r="F403" s="920"/>
      <c r="G403" s="920"/>
      <c r="V403" s="920"/>
      <c r="W403" s="920"/>
      <c r="X403" s="900"/>
      <c r="Y403" s="900"/>
      <c r="Z403" s="900"/>
    </row>
    <row r="404" spans="1:26">
      <c r="A404" s="900"/>
      <c r="B404" s="920"/>
      <c r="C404" s="920"/>
      <c r="D404" s="920"/>
      <c r="E404" s="920"/>
      <c r="F404" s="920"/>
      <c r="G404" s="920"/>
      <c r="V404" s="920"/>
      <c r="W404" s="920"/>
      <c r="X404" s="900"/>
      <c r="Y404" s="900"/>
      <c r="Z404" s="900"/>
    </row>
    <row r="405" spans="1:26">
      <c r="A405" s="900"/>
      <c r="B405" s="920"/>
      <c r="C405" s="920"/>
      <c r="D405" s="920"/>
      <c r="E405" s="920"/>
      <c r="F405" s="920"/>
      <c r="G405" s="920"/>
      <c r="V405" s="920"/>
      <c r="W405" s="920"/>
      <c r="X405" s="900"/>
      <c r="Y405" s="900"/>
      <c r="Z405" s="900"/>
    </row>
    <row r="406" spans="1:26">
      <c r="A406" s="900"/>
      <c r="B406" s="920"/>
      <c r="C406" s="920"/>
      <c r="D406" s="920"/>
      <c r="E406" s="920"/>
      <c r="F406" s="920"/>
      <c r="G406" s="920"/>
      <c r="V406" s="920"/>
      <c r="W406" s="920"/>
      <c r="X406" s="900"/>
      <c r="Y406" s="900"/>
      <c r="Z406" s="900"/>
    </row>
    <row r="407" spans="1:26">
      <c r="A407" s="900"/>
      <c r="B407" s="920"/>
      <c r="C407" s="920"/>
      <c r="D407" s="920"/>
      <c r="E407" s="920"/>
      <c r="F407" s="920"/>
      <c r="G407" s="920"/>
      <c r="V407" s="920"/>
      <c r="W407" s="920"/>
      <c r="X407" s="900"/>
      <c r="Y407" s="900"/>
      <c r="Z407" s="900"/>
    </row>
    <row r="408" spans="1:26">
      <c r="A408" s="900"/>
      <c r="B408" s="920"/>
      <c r="C408" s="920"/>
      <c r="D408" s="920"/>
      <c r="E408" s="920"/>
      <c r="F408" s="920"/>
      <c r="G408" s="920"/>
      <c r="V408" s="920"/>
      <c r="W408" s="920"/>
      <c r="X408" s="900"/>
      <c r="Y408" s="900"/>
      <c r="Z408" s="900"/>
    </row>
    <row r="409" spans="1:26">
      <c r="A409" s="900"/>
      <c r="B409" s="920"/>
      <c r="C409" s="920"/>
      <c r="D409" s="920"/>
      <c r="E409" s="920"/>
      <c r="F409" s="920"/>
      <c r="G409" s="920"/>
      <c r="V409" s="920"/>
      <c r="W409" s="920"/>
      <c r="X409" s="900"/>
      <c r="Y409" s="900"/>
      <c r="Z409" s="900"/>
    </row>
    <row r="410" spans="1:26">
      <c r="A410" s="900"/>
      <c r="B410" s="920"/>
      <c r="C410" s="920"/>
      <c r="D410" s="920"/>
      <c r="E410" s="920"/>
      <c r="F410" s="920"/>
      <c r="G410" s="920"/>
      <c r="V410" s="920"/>
      <c r="W410" s="920"/>
      <c r="X410" s="900"/>
      <c r="Y410" s="900"/>
      <c r="Z410" s="900"/>
    </row>
    <row r="411" spans="1:26">
      <c r="A411" s="900"/>
      <c r="B411" s="920"/>
      <c r="C411" s="920"/>
      <c r="D411" s="920"/>
      <c r="E411" s="920"/>
      <c r="F411" s="920"/>
      <c r="G411" s="920"/>
      <c r="V411" s="920"/>
      <c r="W411" s="920"/>
      <c r="X411" s="900"/>
      <c r="Y411" s="900"/>
      <c r="Z411" s="900"/>
    </row>
    <row r="412" spans="1:26">
      <c r="A412" s="900"/>
      <c r="B412" s="920"/>
      <c r="C412" s="920"/>
      <c r="D412" s="920"/>
      <c r="E412" s="920"/>
      <c r="F412" s="920"/>
      <c r="G412" s="920"/>
      <c r="V412" s="920"/>
      <c r="W412" s="920"/>
      <c r="X412" s="900"/>
      <c r="Y412" s="900"/>
      <c r="Z412" s="900"/>
    </row>
    <row r="413" spans="1:26">
      <c r="A413" s="900"/>
      <c r="B413" s="920"/>
      <c r="C413" s="920"/>
      <c r="D413" s="920"/>
      <c r="E413" s="920"/>
      <c r="F413" s="920"/>
      <c r="G413" s="920"/>
      <c r="V413" s="920"/>
      <c r="W413" s="920"/>
      <c r="X413" s="900"/>
      <c r="Y413" s="900"/>
      <c r="Z413" s="900"/>
    </row>
    <row r="414" spans="1:26">
      <c r="A414" s="900"/>
      <c r="B414" s="920"/>
      <c r="C414" s="920"/>
      <c r="D414" s="920"/>
      <c r="E414" s="920"/>
      <c r="F414" s="920"/>
      <c r="G414" s="920"/>
      <c r="V414" s="920"/>
      <c r="W414" s="920"/>
      <c r="X414" s="900"/>
      <c r="Y414" s="900"/>
      <c r="Z414" s="900"/>
    </row>
    <row r="415" spans="1:26">
      <c r="A415" s="900"/>
      <c r="B415" s="920"/>
      <c r="C415" s="920"/>
      <c r="D415" s="920"/>
      <c r="E415" s="920"/>
      <c r="F415" s="920"/>
      <c r="G415" s="920"/>
      <c r="V415" s="920"/>
      <c r="W415" s="920"/>
      <c r="X415" s="900"/>
      <c r="Y415" s="900"/>
      <c r="Z415" s="900"/>
    </row>
    <row r="416" spans="1:26">
      <c r="A416" s="900"/>
      <c r="B416" s="920"/>
      <c r="C416" s="920"/>
      <c r="D416" s="920"/>
      <c r="E416" s="920"/>
      <c r="F416" s="920"/>
      <c r="G416" s="920"/>
      <c r="V416" s="920"/>
      <c r="W416" s="920"/>
      <c r="X416" s="900"/>
      <c r="Y416" s="900"/>
      <c r="Z416" s="900"/>
    </row>
    <row r="417" spans="1:26">
      <c r="A417" s="900"/>
      <c r="B417" s="920"/>
      <c r="C417" s="920"/>
      <c r="D417" s="920"/>
      <c r="E417" s="920"/>
      <c r="F417" s="920"/>
      <c r="G417" s="920"/>
      <c r="V417" s="920"/>
      <c r="W417" s="920"/>
      <c r="X417" s="900"/>
      <c r="Y417" s="900"/>
      <c r="Z417" s="900"/>
    </row>
    <row r="418" spans="1:26">
      <c r="A418" s="900"/>
      <c r="B418" s="920"/>
      <c r="C418" s="920"/>
      <c r="D418" s="920"/>
      <c r="E418" s="920"/>
      <c r="F418" s="920"/>
      <c r="G418" s="920"/>
      <c r="V418" s="920"/>
      <c r="W418" s="920"/>
      <c r="X418" s="900"/>
      <c r="Y418" s="900"/>
      <c r="Z418" s="900"/>
    </row>
    <row r="419" spans="1:26">
      <c r="A419" s="900"/>
      <c r="B419" s="920"/>
      <c r="C419" s="920"/>
      <c r="D419" s="920"/>
      <c r="E419" s="920"/>
      <c r="F419" s="920"/>
      <c r="G419" s="920"/>
      <c r="V419" s="920"/>
      <c r="W419" s="920"/>
      <c r="X419" s="900"/>
      <c r="Y419" s="900"/>
      <c r="Z419" s="900"/>
    </row>
    <row r="420" spans="1:26">
      <c r="A420" s="900"/>
      <c r="B420" s="920"/>
      <c r="C420" s="920"/>
      <c r="D420" s="920"/>
      <c r="E420" s="920"/>
      <c r="F420" s="920"/>
      <c r="G420" s="920"/>
      <c r="V420" s="920"/>
      <c r="W420" s="920"/>
      <c r="X420" s="900"/>
      <c r="Y420" s="900"/>
      <c r="Z420" s="900"/>
    </row>
    <row r="421" spans="1:26">
      <c r="A421" s="900"/>
      <c r="B421" s="920"/>
      <c r="C421" s="920"/>
      <c r="D421" s="920"/>
      <c r="E421" s="920"/>
      <c r="F421" s="920"/>
      <c r="G421" s="920"/>
      <c r="V421" s="920"/>
      <c r="W421" s="920"/>
      <c r="X421" s="900"/>
      <c r="Y421" s="900"/>
      <c r="Z421" s="900"/>
    </row>
    <row r="422" spans="1:26">
      <c r="A422" s="900"/>
      <c r="B422" s="920"/>
      <c r="C422" s="920"/>
      <c r="D422" s="920"/>
      <c r="E422" s="920"/>
      <c r="F422" s="920"/>
      <c r="G422" s="920"/>
      <c r="V422" s="920"/>
      <c r="W422" s="920"/>
      <c r="X422" s="900"/>
      <c r="Y422" s="900"/>
      <c r="Z422" s="900"/>
    </row>
    <row r="423" spans="1:26">
      <c r="A423" s="900"/>
      <c r="B423" s="920"/>
      <c r="C423" s="920"/>
      <c r="D423" s="920"/>
      <c r="E423" s="920"/>
      <c r="F423" s="920"/>
      <c r="G423" s="920"/>
      <c r="V423" s="920"/>
      <c r="W423" s="920"/>
      <c r="X423" s="900"/>
      <c r="Y423" s="900"/>
      <c r="Z423" s="900"/>
    </row>
    <row r="424" spans="1:26">
      <c r="A424" s="900"/>
      <c r="B424" s="920"/>
      <c r="C424" s="920"/>
      <c r="D424" s="920"/>
      <c r="E424" s="920"/>
      <c r="F424" s="920"/>
      <c r="G424" s="920"/>
      <c r="V424" s="920"/>
      <c r="W424" s="920"/>
      <c r="X424" s="900"/>
      <c r="Y424" s="900"/>
      <c r="Z424" s="900"/>
    </row>
    <row r="425" spans="1:26">
      <c r="A425" s="900"/>
      <c r="B425" s="920"/>
      <c r="C425" s="920"/>
      <c r="D425" s="920"/>
      <c r="E425" s="920"/>
      <c r="F425" s="920"/>
      <c r="G425" s="920"/>
      <c r="V425" s="920"/>
      <c r="W425" s="920"/>
      <c r="X425" s="900"/>
      <c r="Y425" s="900"/>
      <c r="Z425" s="900"/>
    </row>
    <row r="426" spans="1:26">
      <c r="A426" s="900"/>
      <c r="B426" s="920"/>
      <c r="C426" s="920"/>
      <c r="D426" s="920"/>
      <c r="E426" s="920"/>
      <c r="F426" s="920"/>
      <c r="G426" s="920"/>
      <c r="V426" s="920"/>
      <c r="W426" s="920"/>
      <c r="X426" s="900"/>
      <c r="Y426" s="900"/>
      <c r="Z426" s="900"/>
    </row>
    <row r="427" spans="1:26">
      <c r="A427" s="900"/>
      <c r="B427" s="920"/>
      <c r="C427" s="920"/>
      <c r="D427" s="920"/>
      <c r="E427" s="920"/>
      <c r="F427" s="920"/>
      <c r="G427" s="920"/>
      <c r="V427" s="920"/>
      <c r="W427" s="920"/>
      <c r="X427" s="900"/>
      <c r="Y427" s="900"/>
      <c r="Z427" s="900"/>
    </row>
    <row r="428" spans="1:26">
      <c r="A428" s="900"/>
      <c r="B428" s="920"/>
      <c r="C428" s="920"/>
      <c r="D428" s="920"/>
      <c r="E428" s="920"/>
      <c r="F428" s="920"/>
      <c r="G428" s="920"/>
      <c r="V428" s="920"/>
      <c r="W428" s="920"/>
      <c r="X428" s="900"/>
      <c r="Y428" s="900"/>
      <c r="Z428" s="900"/>
    </row>
    <row r="429" spans="1:26">
      <c r="A429" s="900"/>
      <c r="B429" s="920"/>
      <c r="C429" s="920"/>
      <c r="D429" s="920"/>
      <c r="E429" s="920"/>
      <c r="F429" s="920"/>
      <c r="G429" s="920"/>
      <c r="V429" s="920"/>
      <c r="W429" s="920"/>
      <c r="X429" s="900"/>
      <c r="Y429" s="900"/>
      <c r="Z429" s="900"/>
    </row>
    <row r="430" spans="1:26">
      <c r="A430" s="900"/>
      <c r="B430" s="920"/>
      <c r="C430" s="920"/>
      <c r="D430" s="920"/>
      <c r="E430" s="920"/>
      <c r="F430" s="920"/>
      <c r="G430" s="920"/>
      <c r="V430" s="920"/>
      <c r="W430" s="920"/>
      <c r="X430" s="900"/>
      <c r="Y430" s="900"/>
      <c r="Z430" s="900"/>
    </row>
    <row r="431" spans="1:26">
      <c r="A431" s="900"/>
      <c r="B431" s="920"/>
      <c r="C431" s="920"/>
      <c r="D431" s="920"/>
      <c r="E431" s="920"/>
      <c r="F431" s="920"/>
      <c r="G431" s="920"/>
      <c r="V431" s="920"/>
      <c r="W431" s="920"/>
      <c r="X431" s="900"/>
      <c r="Y431" s="900"/>
      <c r="Z431" s="900"/>
    </row>
    <row r="432" spans="1:26">
      <c r="A432" s="900"/>
      <c r="B432" s="920"/>
      <c r="C432" s="920"/>
      <c r="D432" s="920"/>
      <c r="E432" s="920"/>
      <c r="F432" s="920"/>
      <c r="G432" s="920"/>
      <c r="V432" s="920"/>
      <c r="W432" s="920"/>
      <c r="X432" s="900"/>
      <c r="Y432" s="900"/>
      <c r="Z432" s="900"/>
    </row>
    <row r="433" spans="1:26">
      <c r="A433" s="900"/>
      <c r="B433" s="920"/>
      <c r="C433" s="920"/>
      <c r="D433" s="920"/>
      <c r="E433" s="920"/>
      <c r="F433" s="920"/>
      <c r="G433" s="920"/>
      <c r="V433" s="920"/>
      <c r="W433" s="920"/>
      <c r="X433" s="900"/>
      <c r="Y433" s="900"/>
      <c r="Z433" s="900"/>
    </row>
    <row r="434" spans="1:26">
      <c r="A434" s="900"/>
      <c r="B434" s="920"/>
      <c r="C434" s="920"/>
      <c r="D434" s="920"/>
      <c r="E434" s="920"/>
      <c r="F434" s="920"/>
      <c r="G434" s="920"/>
      <c r="V434" s="920"/>
      <c r="W434" s="920"/>
      <c r="X434" s="900"/>
      <c r="Y434" s="900"/>
      <c r="Z434" s="900"/>
    </row>
    <row r="435" spans="1:26">
      <c r="A435" s="900"/>
      <c r="B435" s="920"/>
      <c r="C435" s="920"/>
      <c r="D435" s="920"/>
      <c r="E435" s="920"/>
      <c r="F435" s="920"/>
      <c r="G435" s="920"/>
      <c r="V435" s="920"/>
      <c r="W435" s="920"/>
      <c r="X435" s="900"/>
      <c r="Y435" s="900"/>
      <c r="Z435" s="900"/>
    </row>
    <row r="436" spans="1:26">
      <c r="A436" s="900"/>
      <c r="B436" s="920"/>
      <c r="C436" s="920"/>
      <c r="D436" s="920"/>
      <c r="E436" s="920"/>
      <c r="F436" s="920"/>
      <c r="G436" s="920"/>
      <c r="V436" s="920"/>
      <c r="W436" s="920"/>
      <c r="X436" s="900"/>
      <c r="Y436" s="900"/>
      <c r="Z436" s="900"/>
    </row>
    <row r="437" spans="1:26">
      <c r="A437" s="900"/>
      <c r="B437" s="920"/>
      <c r="C437" s="920"/>
      <c r="D437" s="920"/>
      <c r="E437" s="920"/>
      <c r="F437" s="920"/>
      <c r="G437" s="920"/>
      <c r="V437" s="920"/>
      <c r="W437" s="920"/>
      <c r="X437" s="900"/>
      <c r="Y437" s="900"/>
      <c r="Z437" s="900"/>
    </row>
    <row r="438" spans="1:26">
      <c r="A438" s="900"/>
      <c r="B438" s="920"/>
      <c r="C438" s="920"/>
      <c r="D438" s="920"/>
      <c r="E438" s="920"/>
      <c r="F438" s="920"/>
      <c r="G438" s="920"/>
      <c r="V438" s="920"/>
      <c r="W438" s="920"/>
      <c r="X438" s="900"/>
      <c r="Y438" s="900"/>
      <c r="Z438" s="900"/>
    </row>
    <row r="439" spans="1:26">
      <c r="A439" s="900"/>
      <c r="B439" s="920"/>
      <c r="C439" s="920"/>
      <c r="D439" s="920"/>
      <c r="E439" s="920"/>
      <c r="F439" s="920"/>
      <c r="G439" s="920"/>
      <c r="V439" s="920"/>
      <c r="W439" s="920"/>
      <c r="X439" s="900"/>
      <c r="Y439" s="900"/>
      <c r="Z439" s="900"/>
    </row>
    <row r="440" spans="1:26">
      <c r="A440" s="900"/>
      <c r="B440" s="920"/>
      <c r="C440" s="920"/>
      <c r="D440" s="920"/>
      <c r="E440" s="920"/>
      <c r="F440" s="920"/>
      <c r="G440" s="920"/>
      <c r="V440" s="920"/>
      <c r="W440" s="920"/>
      <c r="X440" s="900"/>
      <c r="Y440" s="900"/>
      <c r="Z440" s="900"/>
    </row>
    <row r="441" spans="1:26">
      <c r="A441" s="900"/>
      <c r="B441" s="920"/>
      <c r="C441" s="920"/>
      <c r="D441" s="920"/>
      <c r="E441" s="920"/>
      <c r="F441" s="920"/>
      <c r="G441" s="920"/>
      <c r="V441" s="920"/>
      <c r="W441" s="920"/>
      <c r="X441" s="900"/>
      <c r="Y441" s="900"/>
      <c r="Z441" s="900"/>
    </row>
    <row r="442" spans="1:26">
      <c r="A442" s="900"/>
      <c r="B442" s="920"/>
      <c r="C442" s="920"/>
      <c r="D442" s="920"/>
      <c r="E442" s="920"/>
      <c r="F442" s="920"/>
      <c r="G442" s="920"/>
      <c r="V442" s="920"/>
      <c r="W442" s="920"/>
      <c r="X442" s="900"/>
      <c r="Y442" s="900"/>
      <c r="Z442" s="900"/>
    </row>
    <row r="443" spans="1:26">
      <c r="A443" s="900"/>
      <c r="B443" s="920"/>
      <c r="C443" s="920"/>
      <c r="D443" s="920"/>
      <c r="E443" s="920"/>
      <c r="F443" s="920"/>
      <c r="G443" s="920"/>
      <c r="V443" s="920"/>
      <c r="W443" s="920"/>
      <c r="X443" s="900"/>
      <c r="Y443" s="900"/>
      <c r="Z443" s="900"/>
    </row>
    <row r="444" spans="1:26">
      <c r="A444" s="900"/>
      <c r="B444" s="920"/>
      <c r="C444" s="920"/>
      <c r="D444" s="920"/>
      <c r="E444" s="920"/>
      <c r="F444" s="920"/>
      <c r="G444" s="920"/>
      <c r="V444" s="920"/>
      <c r="W444" s="920"/>
      <c r="X444" s="900"/>
      <c r="Y444" s="900"/>
      <c r="Z444" s="900"/>
    </row>
    <row r="445" spans="1:26">
      <c r="A445" s="900"/>
      <c r="B445" s="920"/>
      <c r="C445" s="920"/>
      <c r="D445" s="920"/>
      <c r="E445" s="920"/>
      <c r="F445" s="920"/>
      <c r="G445" s="920"/>
      <c r="V445" s="920"/>
      <c r="W445" s="920"/>
      <c r="X445" s="900"/>
      <c r="Y445" s="900"/>
      <c r="Z445" s="900"/>
    </row>
    <row r="446" spans="1:26">
      <c r="A446" s="900"/>
      <c r="B446" s="920"/>
      <c r="C446" s="920"/>
      <c r="D446" s="920"/>
      <c r="E446" s="920"/>
      <c r="F446" s="920"/>
      <c r="G446" s="920"/>
      <c r="V446" s="920"/>
      <c r="W446" s="920"/>
      <c r="X446" s="900"/>
      <c r="Y446" s="900"/>
      <c r="Z446" s="900"/>
    </row>
    <row r="447" spans="1:26">
      <c r="A447" s="900"/>
      <c r="B447" s="920"/>
      <c r="C447" s="920"/>
      <c r="D447" s="920"/>
      <c r="E447" s="920"/>
      <c r="F447" s="920"/>
      <c r="G447" s="920"/>
      <c r="V447" s="920"/>
      <c r="W447" s="920"/>
      <c r="X447" s="900"/>
      <c r="Y447" s="900"/>
      <c r="Z447" s="900"/>
    </row>
    <row r="448" spans="1:26">
      <c r="A448" s="900"/>
      <c r="B448" s="920"/>
      <c r="C448" s="920"/>
      <c r="D448" s="920"/>
      <c r="E448" s="920"/>
      <c r="F448" s="920"/>
      <c r="G448" s="920"/>
      <c r="V448" s="920"/>
      <c r="W448" s="920"/>
      <c r="X448" s="900"/>
      <c r="Y448" s="900"/>
      <c r="Z448" s="900"/>
    </row>
    <row r="449" spans="1:26">
      <c r="A449" s="900"/>
      <c r="B449" s="920"/>
      <c r="C449" s="920"/>
      <c r="D449" s="920"/>
      <c r="E449" s="920"/>
      <c r="F449" s="920"/>
      <c r="G449" s="920"/>
      <c r="V449" s="920"/>
      <c r="W449" s="920"/>
      <c r="X449" s="900"/>
      <c r="Y449" s="900"/>
      <c r="Z449" s="900"/>
    </row>
    <row r="450" spans="1:26">
      <c r="A450" s="900"/>
      <c r="B450" s="920"/>
      <c r="C450" s="920"/>
      <c r="D450" s="920"/>
      <c r="E450" s="920"/>
      <c r="F450" s="920"/>
      <c r="G450" s="920"/>
      <c r="V450" s="920"/>
      <c r="W450" s="920"/>
      <c r="X450" s="900"/>
      <c r="Y450" s="900"/>
      <c r="Z450" s="900"/>
    </row>
    <row r="451" spans="1:26">
      <c r="A451" s="900"/>
      <c r="B451" s="920"/>
      <c r="C451" s="920"/>
      <c r="D451" s="920"/>
      <c r="E451" s="920"/>
      <c r="F451" s="920"/>
      <c r="G451" s="920"/>
      <c r="V451" s="920"/>
      <c r="W451" s="920"/>
      <c r="X451" s="900"/>
      <c r="Y451" s="900"/>
      <c r="Z451" s="900"/>
    </row>
    <row r="452" spans="1:26">
      <c r="A452" s="900"/>
      <c r="B452" s="920"/>
      <c r="C452" s="920"/>
      <c r="D452" s="920"/>
      <c r="E452" s="920"/>
      <c r="F452" s="920"/>
      <c r="G452" s="920"/>
      <c r="V452" s="920"/>
      <c r="W452" s="920"/>
      <c r="X452" s="900"/>
      <c r="Y452" s="900"/>
      <c r="Z452" s="900"/>
    </row>
    <row r="453" spans="1:26">
      <c r="A453" s="900"/>
      <c r="B453" s="920"/>
      <c r="C453" s="920"/>
      <c r="D453" s="920"/>
      <c r="E453" s="920"/>
      <c r="F453" s="920"/>
      <c r="G453" s="920"/>
      <c r="V453" s="920"/>
      <c r="W453" s="920"/>
      <c r="X453" s="900"/>
      <c r="Y453" s="900"/>
      <c r="Z453" s="900"/>
    </row>
    <row r="454" spans="1:26">
      <c r="A454" s="900"/>
      <c r="B454" s="920"/>
      <c r="C454" s="920"/>
      <c r="D454" s="920"/>
      <c r="E454" s="920"/>
      <c r="F454" s="920"/>
      <c r="G454" s="920"/>
      <c r="V454" s="920"/>
      <c r="W454" s="920"/>
      <c r="X454" s="900"/>
      <c r="Y454" s="900"/>
      <c r="Z454" s="900"/>
    </row>
    <row r="455" spans="1:26">
      <c r="A455" s="900"/>
      <c r="B455" s="920"/>
      <c r="C455" s="920"/>
      <c r="D455" s="920"/>
      <c r="E455" s="920"/>
      <c r="F455" s="920"/>
      <c r="G455" s="920"/>
      <c r="V455" s="920"/>
      <c r="W455" s="920"/>
      <c r="X455" s="900"/>
      <c r="Y455" s="900"/>
      <c r="Z455" s="900"/>
    </row>
    <row r="456" spans="1:26">
      <c r="A456" s="900"/>
      <c r="B456" s="920"/>
      <c r="C456" s="920"/>
      <c r="D456" s="920"/>
      <c r="E456" s="920"/>
      <c r="F456" s="920"/>
      <c r="G456" s="920"/>
      <c r="V456" s="920"/>
      <c r="W456" s="920"/>
      <c r="X456" s="900"/>
      <c r="Y456" s="900"/>
      <c r="Z456" s="900"/>
    </row>
    <row r="457" spans="1:26">
      <c r="A457" s="900"/>
      <c r="B457" s="920"/>
      <c r="C457" s="920"/>
      <c r="D457" s="920"/>
      <c r="E457" s="920"/>
      <c r="F457" s="920"/>
      <c r="G457" s="920"/>
      <c r="V457" s="920"/>
      <c r="W457" s="920"/>
      <c r="X457" s="900"/>
      <c r="Y457" s="900"/>
      <c r="Z457" s="900"/>
    </row>
    <row r="458" spans="1:26">
      <c r="A458" s="900"/>
      <c r="B458" s="920"/>
      <c r="C458" s="920"/>
      <c r="D458" s="920"/>
      <c r="E458" s="920"/>
      <c r="F458" s="920"/>
      <c r="G458" s="920"/>
      <c r="V458" s="920"/>
      <c r="W458" s="920"/>
      <c r="X458" s="900"/>
      <c r="Y458" s="900"/>
      <c r="Z458" s="900"/>
    </row>
    <row r="459" spans="1:26">
      <c r="A459" s="900"/>
      <c r="B459" s="920"/>
      <c r="C459" s="920"/>
      <c r="D459" s="920"/>
      <c r="E459" s="920"/>
      <c r="F459" s="920"/>
      <c r="G459" s="920"/>
      <c r="V459" s="920"/>
      <c r="W459" s="920"/>
      <c r="X459" s="900"/>
      <c r="Y459" s="900"/>
      <c r="Z459" s="900"/>
    </row>
    <row r="460" spans="1:26">
      <c r="A460" s="900"/>
      <c r="B460" s="920"/>
      <c r="C460" s="920"/>
      <c r="D460" s="920"/>
      <c r="E460" s="920"/>
      <c r="F460" s="920"/>
      <c r="G460" s="920"/>
      <c r="V460" s="920"/>
      <c r="W460" s="920"/>
      <c r="X460" s="900"/>
      <c r="Y460" s="900"/>
      <c r="Z460" s="900"/>
    </row>
    <row r="461" spans="1:26">
      <c r="A461" s="900"/>
      <c r="B461" s="920"/>
      <c r="C461" s="920"/>
      <c r="D461" s="920"/>
      <c r="E461" s="920"/>
      <c r="F461" s="920"/>
      <c r="G461" s="920"/>
      <c r="V461" s="920"/>
      <c r="W461" s="920"/>
      <c r="X461" s="900"/>
      <c r="Y461" s="900"/>
      <c r="Z461" s="900"/>
    </row>
    <row r="462" spans="1:26">
      <c r="A462" s="900"/>
      <c r="B462" s="920"/>
      <c r="C462" s="920"/>
      <c r="D462" s="920"/>
      <c r="E462" s="920"/>
      <c r="F462" s="920"/>
      <c r="G462" s="920"/>
      <c r="V462" s="920"/>
      <c r="W462" s="920"/>
      <c r="X462" s="900"/>
      <c r="Y462" s="900"/>
      <c r="Z462" s="900"/>
    </row>
    <row r="463" spans="1:26">
      <c r="A463" s="900"/>
      <c r="B463" s="920"/>
      <c r="C463" s="920"/>
      <c r="D463" s="920"/>
      <c r="E463" s="920"/>
      <c r="F463" s="920"/>
      <c r="G463" s="920"/>
      <c r="V463" s="920"/>
      <c r="W463" s="920"/>
      <c r="X463" s="900"/>
      <c r="Y463" s="900"/>
      <c r="Z463" s="900"/>
    </row>
    <row r="464" spans="1:26">
      <c r="A464" s="900"/>
      <c r="B464" s="920"/>
      <c r="C464" s="920"/>
      <c r="D464" s="920"/>
      <c r="E464" s="920"/>
      <c r="F464" s="920"/>
      <c r="G464" s="920"/>
      <c r="V464" s="920"/>
      <c r="W464" s="920"/>
      <c r="X464" s="900"/>
      <c r="Y464" s="900"/>
      <c r="Z464" s="900"/>
    </row>
    <row r="465" spans="1:26">
      <c r="A465" s="900"/>
      <c r="B465" s="920"/>
      <c r="C465" s="920"/>
      <c r="D465" s="920"/>
      <c r="E465" s="920"/>
      <c r="F465" s="920"/>
      <c r="G465" s="920"/>
      <c r="V465" s="920"/>
      <c r="W465" s="920"/>
      <c r="X465" s="900"/>
      <c r="Y465" s="900"/>
      <c r="Z465" s="900"/>
    </row>
    <row r="466" spans="1:26">
      <c r="A466" s="900"/>
      <c r="B466" s="920"/>
      <c r="C466" s="920"/>
      <c r="D466" s="920"/>
      <c r="E466" s="920"/>
      <c r="F466" s="920"/>
      <c r="G466" s="920"/>
      <c r="V466" s="920"/>
      <c r="W466" s="920"/>
      <c r="X466" s="900"/>
      <c r="Y466" s="900"/>
      <c r="Z466" s="900"/>
    </row>
    <row r="467" spans="1:26">
      <c r="A467" s="900"/>
      <c r="B467" s="920"/>
      <c r="C467" s="920"/>
      <c r="D467" s="920"/>
      <c r="E467" s="920"/>
      <c r="F467" s="920"/>
      <c r="G467" s="920"/>
      <c r="V467" s="920"/>
      <c r="W467" s="920"/>
      <c r="X467" s="900"/>
      <c r="Y467" s="900"/>
      <c r="Z467" s="900"/>
    </row>
    <row r="468" spans="1:26">
      <c r="A468" s="900"/>
      <c r="B468" s="920"/>
      <c r="C468" s="920"/>
      <c r="D468" s="920"/>
      <c r="E468" s="920"/>
      <c r="F468" s="920"/>
      <c r="G468" s="920"/>
      <c r="V468" s="920"/>
      <c r="W468" s="920"/>
      <c r="X468" s="900"/>
      <c r="Y468" s="900"/>
      <c r="Z468" s="900"/>
    </row>
    <row r="469" spans="1:26">
      <c r="A469" s="900"/>
      <c r="B469" s="920"/>
      <c r="C469" s="920"/>
      <c r="D469" s="920"/>
      <c r="E469" s="920"/>
      <c r="F469" s="920"/>
      <c r="G469" s="920"/>
      <c r="V469" s="920"/>
      <c r="W469" s="920"/>
      <c r="X469" s="900"/>
      <c r="Y469" s="900"/>
      <c r="Z469" s="900"/>
    </row>
    <row r="470" spans="1:26">
      <c r="A470" s="900"/>
      <c r="B470" s="920"/>
      <c r="C470" s="920"/>
      <c r="D470" s="920"/>
      <c r="E470" s="920"/>
      <c r="F470" s="920"/>
      <c r="G470" s="920"/>
      <c r="V470" s="920"/>
      <c r="W470" s="920"/>
      <c r="X470" s="900"/>
      <c r="Y470" s="900"/>
      <c r="Z470" s="900"/>
    </row>
    <row r="471" spans="1:26">
      <c r="A471" s="900"/>
      <c r="B471" s="920"/>
      <c r="C471" s="920"/>
      <c r="D471" s="920"/>
      <c r="E471" s="920"/>
      <c r="F471" s="920"/>
      <c r="G471" s="920"/>
      <c r="V471" s="920"/>
      <c r="W471" s="920"/>
      <c r="X471" s="900"/>
      <c r="Y471" s="900"/>
      <c r="Z471" s="900"/>
    </row>
    <row r="472" spans="1:26">
      <c r="A472" s="900"/>
      <c r="B472" s="920"/>
      <c r="C472" s="920"/>
      <c r="D472" s="920"/>
      <c r="E472" s="920"/>
      <c r="F472" s="920"/>
      <c r="G472" s="920"/>
      <c r="V472" s="920"/>
      <c r="W472" s="920"/>
      <c r="X472" s="900"/>
      <c r="Y472" s="900"/>
      <c r="Z472" s="900"/>
    </row>
    <row r="473" spans="1:26">
      <c r="A473" s="900"/>
      <c r="B473" s="920"/>
      <c r="C473" s="920"/>
      <c r="D473" s="920"/>
      <c r="E473" s="920"/>
      <c r="F473" s="920"/>
      <c r="G473" s="920"/>
      <c r="V473" s="920"/>
      <c r="W473" s="920"/>
      <c r="X473" s="900"/>
      <c r="Y473" s="900"/>
      <c r="Z473" s="900"/>
    </row>
    <row r="474" spans="1:26">
      <c r="A474" s="900"/>
      <c r="B474" s="920"/>
      <c r="C474" s="920"/>
      <c r="D474" s="920"/>
      <c r="E474" s="920"/>
      <c r="F474" s="920"/>
      <c r="G474" s="920"/>
      <c r="V474" s="920"/>
      <c r="W474" s="920"/>
      <c r="X474" s="900"/>
      <c r="Y474" s="900"/>
      <c r="Z474" s="900"/>
    </row>
    <row r="475" spans="1:26">
      <c r="A475" s="900"/>
      <c r="B475" s="920"/>
      <c r="C475" s="920"/>
      <c r="D475" s="920"/>
      <c r="E475" s="920"/>
      <c r="F475" s="920"/>
      <c r="G475" s="920"/>
      <c r="V475" s="920"/>
      <c r="W475" s="920"/>
      <c r="X475" s="900"/>
      <c r="Y475" s="900"/>
      <c r="Z475" s="900"/>
    </row>
    <row r="476" spans="1:26">
      <c r="A476" s="900"/>
      <c r="B476" s="920"/>
      <c r="C476" s="920"/>
      <c r="D476" s="920"/>
      <c r="E476" s="920"/>
      <c r="F476" s="920"/>
      <c r="G476" s="920"/>
      <c r="V476" s="920"/>
      <c r="W476" s="920"/>
      <c r="X476" s="900"/>
      <c r="Y476" s="900"/>
      <c r="Z476" s="900"/>
    </row>
    <row r="477" spans="1:26">
      <c r="A477" s="900"/>
      <c r="B477" s="920"/>
      <c r="C477" s="920"/>
      <c r="D477" s="920"/>
      <c r="E477" s="920"/>
      <c r="F477" s="920"/>
      <c r="G477" s="920"/>
      <c r="V477" s="920"/>
      <c r="W477" s="920"/>
      <c r="X477" s="900"/>
      <c r="Y477" s="900"/>
      <c r="Z477" s="900"/>
    </row>
    <row r="478" spans="1:26">
      <c r="A478" s="900"/>
      <c r="B478" s="920"/>
      <c r="C478" s="920"/>
      <c r="D478" s="920"/>
      <c r="E478" s="920"/>
      <c r="F478" s="920"/>
      <c r="G478" s="920"/>
      <c r="V478" s="920"/>
      <c r="W478" s="920"/>
      <c r="X478" s="900"/>
      <c r="Y478" s="900"/>
      <c r="Z478" s="900"/>
    </row>
    <row r="479" spans="1:26">
      <c r="A479" s="900"/>
      <c r="B479" s="920"/>
      <c r="C479" s="920"/>
      <c r="D479" s="920"/>
      <c r="E479" s="920"/>
      <c r="F479" s="920"/>
      <c r="G479" s="920"/>
      <c r="V479" s="920"/>
      <c r="W479" s="920"/>
      <c r="X479" s="900"/>
      <c r="Y479" s="900"/>
      <c r="Z479" s="900"/>
    </row>
    <row r="480" spans="1:26">
      <c r="A480" s="900"/>
      <c r="B480" s="920"/>
      <c r="C480" s="920"/>
      <c r="D480" s="920"/>
      <c r="E480" s="920"/>
      <c r="F480" s="920"/>
      <c r="G480" s="920"/>
      <c r="V480" s="920"/>
      <c r="W480" s="920"/>
      <c r="X480" s="900"/>
      <c r="Y480" s="900"/>
      <c r="Z480" s="900"/>
    </row>
    <row r="481" spans="1:26">
      <c r="A481" s="900"/>
      <c r="B481" s="920"/>
      <c r="C481" s="920"/>
      <c r="D481" s="920"/>
      <c r="E481" s="920"/>
      <c r="F481" s="920"/>
      <c r="G481" s="920"/>
      <c r="V481" s="920"/>
      <c r="W481" s="920"/>
      <c r="X481" s="900"/>
      <c r="Y481" s="900"/>
      <c r="Z481" s="900"/>
    </row>
    <row r="482" spans="1:26">
      <c r="A482" s="900"/>
      <c r="B482" s="920"/>
      <c r="C482" s="920"/>
      <c r="D482" s="920"/>
      <c r="E482" s="920"/>
      <c r="F482" s="920"/>
      <c r="G482" s="920"/>
      <c r="V482" s="920"/>
      <c r="W482" s="920"/>
      <c r="X482" s="900"/>
      <c r="Y482" s="900"/>
      <c r="Z482" s="900"/>
    </row>
    <row r="483" spans="1:26">
      <c r="A483" s="900"/>
      <c r="B483" s="920"/>
      <c r="C483" s="920"/>
      <c r="D483" s="920"/>
      <c r="E483" s="920"/>
      <c r="F483" s="920"/>
      <c r="G483" s="920"/>
      <c r="V483" s="920"/>
      <c r="W483" s="920"/>
      <c r="X483" s="900"/>
      <c r="Y483" s="900"/>
      <c r="Z483" s="900"/>
    </row>
    <row r="484" spans="1:26">
      <c r="A484" s="900"/>
      <c r="B484" s="920"/>
      <c r="C484" s="920"/>
      <c r="D484" s="920"/>
      <c r="E484" s="920"/>
      <c r="F484" s="920"/>
      <c r="G484" s="920"/>
      <c r="V484" s="920"/>
      <c r="W484" s="920"/>
      <c r="X484" s="900"/>
      <c r="Y484" s="900"/>
      <c r="Z484" s="900"/>
    </row>
    <row r="485" spans="1:26">
      <c r="A485" s="900"/>
      <c r="B485" s="920"/>
      <c r="C485" s="920"/>
      <c r="D485" s="920"/>
      <c r="E485" s="920"/>
      <c r="F485" s="920"/>
      <c r="G485" s="920"/>
      <c r="V485" s="920"/>
      <c r="W485" s="920"/>
      <c r="X485" s="900"/>
      <c r="Y485" s="900"/>
      <c r="Z485" s="900"/>
    </row>
    <row r="486" spans="1:26">
      <c r="A486" s="900"/>
      <c r="B486" s="920"/>
      <c r="C486" s="920"/>
      <c r="D486" s="920"/>
      <c r="E486" s="920"/>
      <c r="F486" s="920"/>
      <c r="G486" s="920"/>
      <c r="V486" s="920"/>
      <c r="W486" s="920"/>
      <c r="X486" s="900"/>
      <c r="Y486" s="900"/>
      <c r="Z486" s="900"/>
    </row>
    <row r="487" spans="1:26">
      <c r="A487" s="900"/>
      <c r="B487" s="920"/>
      <c r="C487" s="920"/>
      <c r="D487" s="920"/>
      <c r="E487" s="920"/>
      <c r="F487" s="920"/>
      <c r="G487" s="920"/>
      <c r="V487" s="920"/>
      <c r="W487" s="920"/>
      <c r="X487" s="900"/>
      <c r="Y487" s="900"/>
      <c r="Z487" s="900"/>
    </row>
    <row r="488" spans="1:26">
      <c r="A488" s="900"/>
      <c r="B488" s="920"/>
      <c r="C488" s="920"/>
      <c r="D488" s="920"/>
      <c r="E488" s="920"/>
      <c r="F488" s="920"/>
      <c r="G488" s="920"/>
      <c r="V488" s="920"/>
      <c r="W488" s="920"/>
      <c r="X488" s="900"/>
      <c r="Y488" s="900"/>
      <c r="Z488" s="900"/>
    </row>
    <row r="489" spans="1:26">
      <c r="A489" s="900"/>
      <c r="B489" s="920"/>
      <c r="C489" s="920"/>
      <c r="D489" s="920"/>
      <c r="E489" s="920"/>
      <c r="F489" s="920"/>
      <c r="G489" s="920"/>
      <c r="V489" s="920"/>
      <c r="W489" s="920"/>
      <c r="X489" s="900"/>
      <c r="Y489" s="900"/>
      <c r="Z489" s="900"/>
    </row>
    <row r="490" spans="1:26">
      <c r="A490" s="900"/>
      <c r="B490" s="920"/>
      <c r="C490" s="920"/>
      <c r="D490" s="920"/>
      <c r="E490" s="920"/>
      <c r="F490" s="920"/>
      <c r="G490" s="920"/>
      <c r="V490" s="920"/>
      <c r="W490" s="920"/>
      <c r="X490" s="900"/>
      <c r="Y490" s="900"/>
      <c r="Z490" s="900"/>
    </row>
    <row r="491" spans="1:26">
      <c r="A491" s="900"/>
      <c r="B491" s="920"/>
      <c r="C491" s="920"/>
      <c r="D491" s="920"/>
      <c r="E491" s="920"/>
      <c r="F491" s="920"/>
      <c r="G491" s="920"/>
      <c r="V491" s="920"/>
      <c r="W491" s="920"/>
      <c r="X491" s="900"/>
      <c r="Y491" s="900"/>
      <c r="Z491" s="900"/>
    </row>
    <row r="492" spans="1:26">
      <c r="A492" s="900"/>
      <c r="B492" s="920"/>
      <c r="C492" s="920"/>
      <c r="D492" s="920"/>
      <c r="E492" s="920"/>
      <c r="F492" s="920"/>
      <c r="G492" s="920"/>
      <c r="V492" s="920"/>
      <c r="W492" s="920"/>
      <c r="X492" s="900"/>
      <c r="Y492" s="900"/>
      <c r="Z492" s="900"/>
    </row>
    <row r="493" spans="1:26">
      <c r="A493" s="900"/>
      <c r="B493" s="920"/>
      <c r="C493" s="920"/>
      <c r="D493" s="920"/>
      <c r="E493" s="920"/>
      <c r="F493" s="920"/>
      <c r="G493" s="920"/>
      <c r="V493" s="920"/>
      <c r="W493" s="920"/>
      <c r="X493" s="900"/>
      <c r="Y493" s="900"/>
      <c r="Z493" s="900"/>
    </row>
    <row r="494" spans="1:26">
      <c r="A494" s="900"/>
      <c r="B494" s="920"/>
      <c r="C494" s="920"/>
      <c r="D494" s="920"/>
      <c r="E494" s="920"/>
      <c r="F494" s="920"/>
      <c r="G494" s="920"/>
      <c r="V494" s="920"/>
      <c r="W494" s="920"/>
      <c r="X494" s="900"/>
      <c r="Y494" s="900"/>
      <c r="Z494" s="900"/>
    </row>
    <row r="495" spans="1:26">
      <c r="A495" s="900"/>
      <c r="B495" s="920"/>
      <c r="C495" s="920"/>
      <c r="D495" s="920"/>
      <c r="E495" s="920"/>
      <c r="F495" s="920"/>
      <c r="G495" s="920"/>
      <c r="V495" s="920"/>
      <c r="W495" s="920"/>
      <c r="X495" s="900"/>
      <c r="Y495" s="900"/>
      <c r="Z495" s="900"/>
    </row>
    <row r="496" spans="1:26">
      <c r="A496" s="900"/>
      <c r="B496" s="920"/>
      <c r="C496" s="920"/>
      <c r="D496" s="920"/>
      <c r="E496" s="920"/>
      <c r="F496" s="920"/>
      <c r="G496" s="920"/>
      <c r="V496" s="920"/>
      <c r="W496" s="920"/>
      <c r="X496" s="900"/>
      <c r="Y496" s="900"/>
      <c r="Z496" s="900"/>
    </row>
    <row r="497" spans="1:26">
      <c r="A497" s="900"/>
      <c r="B497" s="920"/>
      <c r="C497" s="920"/>
      <c r="D497" s="920"/>
      <c r="E497" s="920"/>
      <c r="F497" s="920"/>
      <c r="G497" s="920"/>
      <c r="V497" s="920"/>
      <c r="W497" s="920"/>
      <c r="X497" s="900"/>
      <c r="Y497" s="900"/>
      <c r="Z497" s="900"/>
    </row>
    <row r="498" spans="1:26">
      <c r="A498" s="900"/>
      <c r="B498" s="920"/>
      <c r="C498" s="920"/>
      <c r="D498" s="920"/>
      <c r="E498" s="920"/>
      <c r="F498" s="920"/>
      <c r="G498" s="920"/>
      <c r="V498" s="920"/>
      <c r="W498" s="920"/>
      <c r="X498" s="900"/>
      <c r="Y498" s="900"/>
      <c r="Z498" s="900"/>
    </row>
    <row r="499" spans="1:26">
      <c r="A499" s="900"/>
      <c r="B499" s="920"/>
      <c r="C499" s="920"/>
      <c r="D499" s="920"/>
      <c r="E499" s="920"/>
      <c r="F499" s="920"/>
      <c r="G499" s="920"/>
      <c r="V499" s="920"/>
      <c r="W499" s="920"/>
      <c r="X499" s="900"/>
      <c r="Y499" s="900"/>
      <c r="Z499" s="900"/>
    </row>
    <row r="500" spans="1:26">
      <c r="A500" s="900"/>
      <c r="B500" s="920"/>
      <c r="C500" s="920"/>
      <c r="D500" s="920"/>
      <c r="E500" s="920"/>
      <c r="F500" s="920"/>
      <c r="G500" s="920"/>
      <c r="V500" s="920"/>
      <c r="W500" s="920"/>
      <c r="X500" s="900"/>
      <c r="Y500" s="900"/>
      <c r="Z500" s="900"/>
    </row>
    <row r="501" spans="1:26">
      <c r="A501" s="900"/>
      <c r="B501" s="920"/>
      <c r="C501" s="920"/>
      <c r="D501" s="920"/>
      <c r="E501" s="920"/>
      <c r="F501" s="920"/>
      <c r="G501" s="920"/>
      <c r="V501" s="920"/>
      <c r="W501" s="920"/>
      <c r="X501" s="900"/>
      <c r="Y501" s="900"/>
      <c r="Z501" s="900"/>
    </row>
    <row r="502" spans="1:26">
      <c r="A502" s="900"/>
      <c r="B502" s="920"/>
      <c r="C502" s="920"/>
      <c r="D502" s="920"/>
      <c r="E502" s="920"/>
      <c r="F502" s="920"/>
      <c r="G502" s="920"/>
      <c r="V502" s="920"/>
      <c r="W502" s="920"/>
      <c r="X502" s="900"/>
      <c r="Y502" s="900"/>
      <c r="Z502" s="900"/>
    </row>
    <row r="503" spans="1:26">
      <c r="A503" s="900"/>
      <c r="B503" s="920"/>
      <c r="C503" s="920"/>
      <c r="D503" s="920"/>
      <c r="E503" s="920"/>
      <c r="F503" s="920"/>
      <c r="G503" s="920"/>
      <c r="V503" s="920"/>
      <c r="W503" s="920"/>
      <c r="X503" s="900"/>
      <c r="Y503" s="900"/>
      <c r="Z503" s="900"/>
    </row>
    <row r="504" spans="1:26">
      <c r="A504" s="900"/>
      <c r="B504" s="920"/>
      <c r="C504" s="920"/>
      <c r="D504" s="920"/>
      <c r="E504" s="920"/>
      <c r="F504" s="920"/>
      <c r="G504" s="920"/>
      <c r="V504" s="920"/>
      <c r="W504" s="920"/>
      <c r="X504" s="900"/>
      <c r="Y504" s="900"/>
      <c r="Z504" s="900"/>
    </row>
    <row r="505" spans="1:26">
      <c r="A505" s="900"/>
      <c r="B505" s="920"/>
      <c r="C505" s="920"/>
      <c r="D505" s="920"/>
      <c r="E505" s="920"/>
      <c r="F505" s="920"/>
      <c r="G505" s="920"/>
      <c r="V505" s="920"/>
      <c r="W505" s="920"/>
      <c r="X505" s="900"/>
      <c r="Y505" s="900"/>
      <c r="Z505" s="900"/>
    </row>
    <row r="506" spans="1:26">
      <c r="A506" s="900"/>
      <c r="B506" s="920"/>
      <c r="C506" s="920"/>
      <c r="D506" s="920"/>
      <c r="E506" s="920"/>
      <c r="F506" s="920"/>
      <c r="G506" s="920"/>
      <c r="V506" s="920"/>
      <c r="W506" s="920"/>
      <c r="X506" s="900"/>
      <c r="Y506" s="900"/>
      <c r="Z506" s="900"/>
    </row>
    <row r="507" spans="1:26">
      <c r="A507" s="900"/>
      <c r="B507" s="920"/>
      <c r="C507" s="920"/>
      <c r="D507" s="920"/>
      <c r="E507" s="920"/>
      <c r="F507" s="920"/>
      <c r="G507" s="920"/>
      <c r="V507" s="920"/>
      <c r="W507" s="920"/>
      <c r="X507" s="900"/>
      <c r="Y507" s="900"/>
      <c r="Z507" s="900"/>
    </row>
    <row r="508" spans="1:26">
      <c r="A508" s="900"/>
      <c r="B508" s="920"/>
      <c r="C508" s="920"/>
      <c r="D508" s="920"/>
      <c r="E508" s="920"/>
      <c r="F508" s="920"/>
      <c r="G508" s="920"/>
      <c r="V508" s="920"/>
      <c r="W508" s="920"/>
      <c r="X508" s="900"/>
      <c r="Y508" s="900"/>
      <c r="Z508" s="900"/>
    </row>
    <row r="509" spans="1:26">
      <c r="A509" s="900"/>
      <c r="B509" s="920"/>
      <c r="C509" s="920"/>
      <c r="D509" s="920"/>
      <c r="E509" s="920"/>
      <c r="F509" s="920"/>
      <c r="G509" s="920"/>
      <c r="V509" s="920"/>
      <c r="W509" s="920"/>
      <c r="X509" s="900"/>
      <c r="Y509" s="900"/>
      <c r="Z509" s="900"/>
    </row>
    <row r="510" spans="1:26">
      <c r="A510" s="900"/>
      <c r="B510" s="920"/>
      <c r="C510" s="920"/>
      <c r="D510" s="920"/>
      <c r="E510" s="920"/>
      <c r="F510" s="920"/>
      <c r="G510" s="920"/>
      <c r="V510" s="920"/>
      <c r="W510" s="920"/>
      <c r="X510" s="900"/>
      <c r="Y510" s="900"/>
      <c r="Z510" s="900"/>
    </row>
    <row r="511" spans="1:26">
      <c r="A511" s="900"/>
      <c r="B511" s="920"/>
      <c r="C511" s="920"/>
      <c r="D511" s="920"/>
      <c r="E511" s="920"/>
      <c r="F511" s="920"/>
      <c r="G511" s="920"/>
      <c r="V511" s="920"/>
      <c r="W511" s="920"/>
      <c r="X511" s="900"/>
      <c r="Y511" s="900"/>
      <c r="Z511" s="900"/>
    </row>
    <row r="512" spans="1:26">
      <c r="A512" s="900"/>
      <c r="B512" s="920"/>
      <c r="C512" s="920"/>
      <c r="D512" s="920"/>
      <c r="E512" s="920"/>
      <c r="F512" s="920"/>
      <c r="G512" s="920"/>
      <c r="V512" s="920"/>
      <c r="W512" s="920"/>
      <c r="X512" s="900"/>
      <c r="Y512" s="900"/>
      <c r="Z512" s="900"/>
    </row>
    <row r="513" spans="1:26">
      <c r="A513" s="900"/>
      <c r="B513" s="920"/>
      <c r="C513" s="920"/>
      <c r="D513" s="920"/>
      <c r="E513" s="920"/>
      <c r="F513" s="920"/>
      <c r="G513" s="920"/>
      <c r="V513" s="920"/>
      <c r="W513" s="920"/>
      <c r="X513" s="900"/>
      <c r="Y513" s="900"/>
      <c r="Z513" s="900"/>
    </row>
    <row r="514" spans="1:26">
      <c r="A514" s="900"/>
      <c r="B514" s="920"/>
      <c r="C514" s="920"/>
      <c r="D514" s="920"/>
      <c r="E514" s="920"/>
      <c r="F514" s="920"/>
      <c r="G514" s="920"/>
      <c r="V514" s="920"/>
      <c r="W514" s="920"/>
      <c r="X514" s="900"/>
      <c r="Y514" s="900"/>
      <c r="Z514" s="900"/>
    </row>
    <row r="515" spans="1:26">
      <c r="A515" s="900"/>
      <c r="B515" s="920"/>
      <c r="C515" s="920"/>
      <c r="D515" s="920"/>
      <c r="E515" s="920"/>
      <c r="F515" s="920"/>
      <c r="G515" s="920"/>
      <c r="V515" s="920"/>
      <c r="W515" s="920"/>
      <c r="X515" s="900"/>
      <c r="Y515" s="900"/>
      <c r="Z515" s="900"/>
    </row>
    <row r="516" spans="1:26">
      <c r="A516" s="900"/>
      <c r="B516" s="920"/>
      <c r="C516" s="920"/>
      <c r="D516" s="920"/>
      <c r="E516" s="920"/>
      <c r="F516" s="920"/>
      <c r="G516" s="920"/>
      <c r="V516" s="920"/>
      <c r="W516" s="920"/>
      <c r="X516" s="900"/>
      <c r="Y516" s="900"/>
      <c r="Z516" s="900"/>
    </row>
    <row r="517" spans="1:26">
      <c r="A517" s="900"/>
      <c r="B517" s="920"/>
      <c r="C517" s="920"/>
      <c r="D517" s="920"/>
      <c r="E517" s="920"/>
      <c r="F517" s="920"/>
      <c r="G517" s="920"/>
      <c r="V517" s="920"/>
      <c r="W517" s="920"/>
      <c r="X517" s="900"/>
      <c r="Y517" s="900"/>
      <c r="Z517" s="900"/>
    </row>
    <row r="518" spans="1:26">
      <c r="A518" s="900"/>
      <c r="B518" s="920"/>
      <c r="C518" s="920"/>
      <c r="D518" s="920"/>
      <c r="E518" s="920"/>
      <c r="F518" s="920"/>
      <c r="G518" s="920"/>
      <c r="V518" s="920"/>
      <c r="W518" s="920"/>
      <c r="X518" s="900"/>
      <c r="Y518" s="900"/>
      <c r="Z518" s="900"/>
    </row>
    <row r="519" spans="1:26">
      <c r="A519" s="900"/>
      <c r="B519" s="920"/>
      <c r="C519" s="920"/>
      <c r="D519" s="920"/>
      <c r="E519" s="920"/>
      <c r="F519" s="920"/>
      <c r="G519" s="920"/>
      <c r="V519" s="920"/>
      <c r="W519" s="920"/>
      <c r="X519" s="900"/>
      <c r="Y519" s="900"/>
      <c r="Z519" s="900"/>
    </row>
    <row r="520" spans="1:26">
      <c r="A520" s="900"/>
      <c r="B520" s="920"/>
      <c r="C520" s="920"/>
      <c r="D520" s="920"/>
      <c r="E520" s="920"/>
      <c r="F520" s="920"/>
      <c r="G520" s="920"/>
      <c r="V520" s="920"/>
      <c r="W520" s="920"/>
      <c r="X520" s="900"/>
      <c r="Y520" s="900"/>
      <c r="Z520" s="900"/>
    </row>
    <row r="521" spans="1:26">
      <c r="A521" s="900"/>
      <c r="B521" s="920"/>
      <c r="C521" s="920"/>
      <c r="D521" s="920"/>
      <c r="E521" s="920"/>
      <c r="F521" s="920"/>
      <c r="G521" s="920"/>
      <c r="V521" s="920"/>
      <c r="W521" s="920"/>
      <c r="X521" s="900"/>
      <c r="Y521" s="900"/>
      <c r="Z521" s="900"/>
    </row>
    <row r="522" spans="1:26">
      <c r="A522" s="900"/>
      <c r="B522" s="920"/>
      <c r="C522" s="920"/>
      <c r="D522" s="920"/>
      <c r="E522" s="920"/>
      <c r="F522" s="920"/>
      <c r="G522" s="920"/>
      <c r="V522" s="920"/>
      <c r="W522" s="920"/>
      <c r="X522" s="900"/>
      <c r="Y522" s="900"/>
      <c r="Z522" s="900"/>
    </row>
    <row r="523" spans="1:26">
      <c r="A523" s="900"/>
      <c r="B523" s="920"/>
      <c r="C523" s="920"/>
      <c r="D523" s="920"/>
      <c r="E523" s="920"/>
      <c r="F523" s="920"/>
      <c r="G523" s="920"/>
      <c r="V523" s="920"/>
      <c r="W523" s="920"/>
      <c r="X523" s="900"/>
      <c r="Y523" s="900"/>
      <c r="Z523" s="900"/>
    </row>
    <row r="524" spans="1:26">
      <c r="A524" s="900"/>
      <c r="B524" s="920"/>
      <c r="C524" s="920"/>
      <c r="D524" s="920"/>
      <c r="E524" s="920"/>
      <c r="F524" s="920"/>
      <c r="G524" s="920"/>
      <c r="V524" s="920"/>
      <c r="W524" s="920"/>
      <c r="X524" s="900"/>
      <c r="Y524" s="900"/>
      <c r="Z524" s="900"/>
    </row>
    <row r="525" spans="1:26">
      <c r="A525" s="900"/>
      <c r="B525" s="920"/>
      <c r="C525" s="920"/>
      <c r="D525" s="920"/>
      <c r="E525" s="920"/>
      <c r="F525" s="920"/>
      <c r="G525" s="920"/>
      <c r="V525" s="920"/>
      <c r="W525" s="920"/>
      <c r="X525" s="900"/>
      <c r="Y525" s="900"/>
      <c r="Z525" s="900"/>
    </row>
    <row r="526" spans="1:26">
      <c r="A526" s="900"/>
      <c r="B526" s="920"/>
      <c r="C526" s="920"/>
      <c r="D526" s="920"/>
      <c r="E526" s="920"/>
      <c r="F526" s="920"/>
      <c r="G526" s="920"/>
      <c r="V526" s="920"/>
      <c r="W526" s="920"/>
      <c r="X526" s="900"/>
      <c r="Y526" s="900"/>
      <c r="Z526" s="900"/>
    </row>
    <row r="527" spans="1:26">
      <c r="A527" s="900"/>
      <c r="B527" s="920"/>
      <c r="C527" s="920"/>
      <c r="D527" s="920"/>
      <c r="E527" s="920"/>
      <c r="F527" s="920"/>
      <c r="G527" s="920"/>
      <c r="V527" s="920"/>
      <c r="W527" s="920"/>
      <c r="X527" s="900"/>
      <c r="Y527" s="900"/>
      <c r="Z527" s="900"/>
    </row>
    <row r="528" spans="1:26">
      <c r="A528" s="900"/>
      <c r="B528" s="920"/>
      <c r="C528" s="920"/>
      <c r="D528" s="920"/>
      <c r="E528" s="920"/>
      <c r="F528" s="920"/>
      <c r="G528" s="920"/>
      <c r="V528" s="920"/>
      <c r="W528" s="920"/>
      <c r="X528" s="900"/>
      <c r="Y528" s="900"/>
      <c r="Z528" s="900"/>
    </row>
    <row r="529" spans="1:26">
      <c r="A529" s="900"/>
      <c r="B529" s="920"/>
      <c r="C529" s="920"/>
      <c r="D529" s="920"/>
      <c r="E529" s="920"/>
      <c r="F529" s="920"/>
      <c r="G529" s="920"/>
      <c r="V529" s="920"/>
      <c r="W529" s="920"/>
      <c r="X529" s="900"/>
      <c r="Y529" s="900"/>
      <c r="Z529" s="900"/>
    </row>
    <row r="530" spans="1:26">
      <c r="A530" s="900"/>
      <c r="B530" s="920"/>
      <c r="C530" s="920"/>
      <c r="D530" s="920"/>
      <c r="E530" s="920"/>
      <c r="F530" s="920"/>
      <c r="G530" s="920"/>
      <c r="V530" s="920"/>
      <c r="W530" s="920"/>
      <c r="X530" s="900"/>
      <c r="Y530" s="900"/>
      <c r="Z530" s="900"/>
    </row>
    <row r="531" spans="1:26">
      <c r="A531" s="900"/>
      <c r="B531" s="920"/>
      <c r="C531" s="920"/>
      <c r="D531" s="920"/>
      <c r="E531" s="920"/>
      <c r="F531" s="920"/>
      <c r="G531" s="920"/>
      <c r="V531" s="920"/>
      <c r="W531" s="920"/>
      <c r="X531" s="900"/>
      <c r="Y531" s="900"/>
      <c r="Z531" s="900"/>
    </row>
    <row r="532" spans="1:26">
      <c r="A532" s="900"/>
      <c r="B532" s="920"/>
      <c r="C532" s="920"/>
      <c r="D532" s="920"/>
      <c r="E532" s="920"/>
      <c r="F532" s="920"/>
      <c r="G532" s="920"/>
      <c r="V532" s="920"/>
      <c r="W532" s="920"/>
      <c r="X532" s="900"/>
      <c r="Y532" s="900"/>
      <c r="Z532" s="900"/>
    </row>
    <row r="533" spans="1:26">
      <c r="A533" s="900"/>
      <c r="B533" s="920"/>
      <c r="C533" s="920"/>
      <c r="D533" s="920"/>
      <c r="E533" s="920"/>
      <c r="F533" s="920"/>
      <c r="G533" s="920"/>
      <c r="V533" s="920"/>
      <c r="W533" s="920"/>
      <c r="X533" s="900"/>
      <c r="Y533" s="900"/>
      <c r="Z533" s="900"/>
    </row>
    <row r="534" spans="1:26">
      <c r="A534" s="900"/>
      <c r="B534" s="920"/>
      <c r="C534" s="920"/>
      <c r="D534" s="920"/>
      <c r="E534" s="920"/>
      <c r="F534" s="920"/>
      <c r="G534" s="920"/>
      <c r="V534" s="920"/>
      <c r="W534" s="920"/>
      <c r="X534" s="900"/>
      <c r="Y534" s="900"/>
      <c r="Z534" s="900"/>
    </row>
    <row r="535" spans="1:26">
      <c r="A535" s="900"/>
      <c r="B535" s="920"/>
      <c r="C535" s="920"/>
      <c r="D535" s="920"/>
      <c r="E535" s="920"/>
      <c r="F535" s="920"/>
      <c r="G535" s="920"/>
      <c r="V535" s="920"/>
      <c r="W535" s="920"/>
      <c r="X535" s="900"/>
      <c r="Y535" s="900"/>
      <c r="Z535" s="900"/>
    </row>
    <row r="536" spans="1:26">
      <c r="A536" s="900"/>
      <c r="B536" s="920"/>
      <c r="C536" s="920"/>
      <c r="D536" s="920"/>
      <c r="E536" s="920"/>
      <c r="F536" s="920"/>
      <c r="G536" s="920"/>
      <c r="V536" s="920"/>
      <c r="W536" s="920"/>
      <c r="X536" s="900"/>
      <c r="Y536" s="900"/>
      <c r="Z536" s="900"/>
    </row>
    <row r="537" spans="1:26">
      <c r="A537" s="900"/>
      <c r="B537" s="920"/>
      <c r="C537" s="920"/>
      <c r="D537" s="920"/>
      <c r="E537" s="920"/>
      <c r="F537" s="920"/>
      <c r="G537" s="920"/>
      <c r="V537" s="920"/>
      <c r="W537" s="920"/>
      <c r="X537" s="900"/>
      <c r="Y537" s="900"/>
      <c r="Z537" s="900"/>
    </row>
    <row r="538" spans="1:26">
      <c r="A538" s="900"/>
      <c r="B538" s="920"/>
      <c r="C538" s="920"/>
      <c r="D538" s="920"/>
      <c r="E538" s="920"/>
      <c r="F538" s="920"/>
      <c r="G538" s="920"/>
      <c r="V538" s="920"/>
      <c r="W538" s="920"/>
      <c r="X538" s="900"/>
      <c r="Y538" s="900"/>
      <c r="Z538" s="900"/>
    </row>
    <row r="539" spans="1:26">
      <c r="A539" s="900"/>
      <c r="B539" s="920"/>
      <c r="C539" s="920"/>
      <c r="D539" s="920"/>
      <c r="E539" s="920"/>
      <c r="F539" s="920"/>
      <c r="G539" s="920"/>
      <c r="V539" s="920"/>
      <c r="W539" s="920"/>
      <c r="X539" s="900"/>
      <c r="Y539" s="900"/>
      <c r="Z539" s="900"/>
    </row>
    <row r="540" spans="1:26">
      <c r="A540" s="900"/>
      <c r="B540" s="920"/>
      <c r="C540" s="920"/>
      <c r="D540" s="920"/>
      <c r="E540" s="920"/>
      <c r="F540" s="920"/>
      <c r="G540" s="920"/>
      <c r="V540" s="920"/>
      <c r="W540" s="920"/>
      <c r="X540" s="900"/>
      <c r="Y540" s="900"/>
      <c r="Z540" s="900"/>
    </row>
    <row r="541" spans="1:26">
      <c r="A541" s="900"/>
      <c r="B541" s="920"/>
      <c r="C541" s="920"/>
      <c r="D541" s="920"/>
      <c r="E541" s="920"/>
      <c r="F541" s="920"/>
      <c r="G541" s="920"/>
      <c r="V541" s="920"/>
      <c r="W541" s="920"/>
      <c r="X541" s="900"/>
      <c r="Y541" s="900"/>
      <c r="Z541" s="900"/>
    </row>
    <row r="542" spans="1:26">
      <c r="A542" s="900"/>
      <c r="B542" s="920"/>
      <c r="C542" s="920"/>
      <c r="D542" s="920"/>
      <c r="E542" s="920"/>
      <c r="F542" s="920"/>
      <c r="G542" s="920"/>
      <c r="V542" s="920"/>
      <c r="W542" s="920"/>
      <c r="X542" s="900"/>
      <c r="Y542" s="900"/>
      <c r="Z542" s="900"/>
    </row>
    <row r="543" spans="1:26">
      <c r="A543" s="900"/>
      <c r="B543" s="920"/>
      <c r="C543" s="920"/>
      <c r="D543" s="920"/>
      <c r="E543" s="920"/>
      <c r="F543" s="920"/>
      <c r="G543" s="920"/>
      <c r="V543" s="920"/>
      <c r="W543" s="920"/>
      <c r="X543" s="900"/>
      <c r="Y543" s="900"/>
      <c r="Z543" s="900"/>
    </row>
    <row r="544" spans="1:26">
      <c r="A544" s="900"/>
      <c r="B544" s="920"/>
      <c r="C544" s="920"/>
      <c r="D544" s="920"/>
      <c r="E544" s="920"/>
      <c r="F544" s="920"/>
      <c r="G544" s="920"/>
      <c r="V544" s="920"/>
      <c r="W544" s="920"/>
      <c r="X544" s="900"/>
      <c r="Y544" s="900"/>
      <c r="Z544" s="900"/>
    </row>
    <row r="545" spans="1:26">
      <c r="A545" s="900"/>
      <c r="B545" s="920"/>
      <c r="C545" s="920"/>
      <c r="D545" s="920"/>
      <c r="E545" s="920"/>
      <c r="F545" s="920"/>
      <c r="G545" s="920"/>
      <c r="V545" s="920"/>
      <c r="W545" s="920"/>
      <c r="X545" s="900"/>
      <c r="Y545" s="900"/>
      <c r="Z545" s="900"/>
    </row>
    <row r="546" spans="1:26">
      <c r="A546" s="900"/>
      <c r="B546" s="920"/>
      <c r="C546" s="920"/>
      <c r="D546" s="920"/>
      <c r="E546" s="920"/>
      <c r="F546" s="920"/>
      <c r="G546" s="920"/>
      <c r="V546" s="920"/>
      <c r="W546" s="920"/>
      <c r="X546" s="900"/>
      <c r="Y546" s="900"/>
      <c r="Z546" s="900"/>
    </row>
    <row r="547" spans="1:26">
      <c r="A547" s="900"/>
      <c r="B547" s="920"/>
      <c r="C547" s="920"/>
      <c r="D547" s="920"/>
      <c r="E547" s="920"/>
      <c r="F547" s="920"/>
      <c r="G547" s="920"/>
      <c r="V547" s="920"/>
      <c r="W547" s="920"/>
      <c r="X547" s="900"/>
      <c r="Y547" s="900"/>
      <c r="Z547" s="900"/>
    </row>
    <row r="548" spans="1:26">
      <c r="A548" s="900"/>
      <c r="B548" s="920"/>
      <c r="C548" s="920"/>
      <c r="D548" s="920"/>
      <c r="E548" s="920"/>
      <c r="F548" s="920"/>
      <c r="G548" s="920"/>
      <c r="V548" s="920"/>
      <c r="W548" s="920"/>
      <c r="X548" s="900"/>
      <c r="Y548" s="900"/>
      <c r="Z548" s="900"/>
    </row>
    <row r="549" spans="1:26">
      <c r="A549" s="900"/>
      <c r="B549" s="920"/>
      <c r="C549" s="920"/>
      <c r="D549" s="920"/>
      <c r="E549" s="920"/>
      <c r="F549" s="920"/>
      <c r="G549" s="920"/>
      <c r="V549" s="920"/>
      <c r="W549" s="920"/>
      <c r="X549" s="900"/>
      <c r="Y549" s="900"/>
      <c r="Z549" s="900"/>
    </row>
    <row r="550" spans="1:26">
      <c r="A550" s="900"/>
      <c r="B550" s="920"/>
      <c r="C550" s="920"/>
      <c r="D550" s="920"/>
      <c r="E550" s="920"/>
      <c r="F550" s="920"/>
      <c r="G550" s="920"/>
      <c r="V550" s="920"/>
      <c r="W550" s="920"/>
      <c r="X550" s="900"/>
      <c r="Y550" s="900"/>
      <c r="Z550" s="900"/>
    </row>
    <row r="551" spans="1:26">
      <c r="A551" s="900"/>
      <c r="B551" s="920"/>
      <c r="C551" s="920"/>
      <c r="D551" s="920"/>
      <c r="E551" s="920"/>
      <c r="F551" s="920"/>
      <c r="G551" s="920"/>
      <c r="V551" s="920"/>
      <c r="W551" s="920"/>
      <c r="X551" s="900"/>
      <c r="Y551" s="900"/>
      <c r="Z551" s="900"/>
    </row>
    <row r="552" spans="1:26">
      <c r="A552" s="900"/>
      <c r="B552" s="920"/>
      <c r="C552" s="920"/>
      <c r="D552" s="920"/>
      <c r="E552" s="920"/>
      <c r="F552" s="920"/>
      <c r="G552" s="920"/>
      <c r="V552" s="920"/>
      <c r="W552" s="920"/>
      <c r="X552" s="900"/>
      <c r="Y552" s="900"/>
      <c r="Z552" s="900"/>
    </row>
    <row r="553" spans="1:26">
      <c r="A553" s="900"/>
      <c r="B553" s="920"/>
      <c r="C553" s="920"/>
      <c r="D553" s="920"/>
      <c r="E553" s="920"/>
      <c r="F553" s="920"/>
      <c r="G553" s="920"/>
      <c r="V553" s="920"/>
      <c r="W553" s="920"/>
      <c r="X553" s="900"/>
      <c r="Y553" s="900"/>
      <c r="Z553" s="900"/>
    </row>
    <row r="554" spans="1:26">
      <c r="A554" s="900"/>
      <c r="B554" s="920"/>
      <c r="C554" s="920"/>
      <c r="D554" s="920"/>
      <c r="E554" s="920"/>
      <c r="F554" s="920"/>
      <c r="G554" s="920"/>
      <c r="V554" s="920"/>
      <c r="W554" s="920"/>
      <c r="X554" s="900"/>
      <c r="Y554" s="900"/>
      <c r="Z554" s="900"/>
    </row>
    <row r="555" spans="1:26">
      <c r="A555" s="900"/>
      <c r="B555" s="920"/>
      <c r="C555" s="920"/>
      <c r="D555" s="920"/>
      <c r="E555" s="920"/>
      <c r="F555" s="920"/>
      <c r="G555" s="920"/>
      <c r="V555" s="920"/>
      <c r="W555" s="920"/>
      <c r="X555" s="900"/>
      <c r="Y555" s="900"/>
      <c r="Z555" s="900"/>
    </row>
    <row r="556" spans="1:26">
      <c r="A556" s="900"/>
      <c r="B556" s="920"/>
      <c r="C556" s="920"/>
      <c r="D556" s="920"/>
      <c r="E556" s="920"/>
      <c r="F556" s="920"/>
      <c r="G556" s="920"/>
      <c r="V556" s="920"/>
      <c r="W556" s="920"/>
      <c r="X556" s="900"/>
      <c r="Y556" s="900"/>
      <c r="Z556" s="900"/>
    </row>
    <row r="557" spans="1:26">
      <c r="A557" s="900"/>
      <c r="B557" s="920"/>
      <c r="C557" s="920"/>
      <c r="D557" s="920"/>
      <c r="E557" s="920"/>
      <c r="F557" s="920"/>
      <c r="G557" s="920"/>
      <c r="V557" s="920"/>
      <c r="W557" s="920"/>
      <c r="X557" s="900"/>
      <c r="Y557" s="900"/>
      <c r="Z557" s="900"/>
    </row>
    <row r="558" spans="1:26">
      <c r="A558" s="900"/>
      <c r="B558" s="920"/>
      <c r="C558" s="920"/>
      <c r="D558" s="920"/>
      <c r="E558" s="920"/>
      <c r="F558" s="920"/>
      <c r="G558" s="920"/>
      <c r="V558" s="920"/>
      <c r="W558" s="920"/>
      <c r="X558" s="900"/>
      <c r="Y558" s="900"/>
      <c r="Z558" s="900"/>
    </row>
    <row r="559" spans="1:26">
      <c r="A559" s="900"/>
      <c r="B559" s="920"/>
      <c r="C559" s="920"/>
      <c r="D559" s="920"/>
      <c r="E559" s="920"/>
      <c r="F559" s="920"/>
      <c r="G559" s="920"/>
      <c r="V559" s="920"/>
      <c r="W559" s="920"/>
      <c r="X559" s="900"/>
      <c r="Y559" s="900"/>
      <c r="Z559" s="900"/>
    </row>
    <row r="560" spans="1:26">
      <c r="A560" s="900"/>
      <c r="B560" s="920"/>
      <c r="C560" s="920"/>
      <c r="D560" s="920"/>
      <c r="E560" s="920"/>
      <c r="F560" s="920"/>
      <c r="G560" s="920"/>
      <c r="V560" s="920"/>
      <c r="W560" s="920"/>
      <c r="X560" s="900"/>
      <c r="Y560" s="900"/>
      <c r="Z560" s="900"/>
    </row>
    <row r="561" spans="1:26">
      <c r="A561" s="900"/>
      <c r="B561" s="920"/>
      <c r="C561" s="920"/>
      <c r="D561" s="920"/>
      <c r="E561" s="920"/>
      <c r="F561" s="920"/>
      <c r="G561" s="920"/>
      <c r="V561" s="920"/>
      <c r="W561" s="920"/>
      <c r="X561" s="900"/>
      <c r="Y561" s="900"/>
      <c r="Z561" s="900"/>
    </row>
    <row r="562" spans="1:26">
      <c r="A562" s="900"/>
      <c r="B562" s="920"/>
      <c r="C562" s="920"/>
      <c r="D562" s="920"/>
      <c r="E562" s="920"/>
      <c r="F562" s="920"/>
      <c r="G562" s="920"/>
      <c r="V562" s="920"/>
      <c r="W562" s="920"/>
      <c r="X562" s="900"/>
      <c r="Y562" s="900"/>
      <c r="Z562" s="900"/>
    </row>
    <row r="563" spans="1:26">
      <c r="A563" s="900"/>
      <c r="B563" s="920"/>
      <c r="C563" s="920"/>
      <c r="D563" s="920"/>
      <c r="E563" s="920"/>
      <c r="F563" s="920"/>
      <c r="G563" s="920"/>
      <c r="V563" s="920"/>
      <c r="W563" s="920"/>
      <c r="X563" s="900"/>
      <c r="Y563" s="900"/>
      <c r="Z563" s="900"/>
    </row>
    <row r="564" spans="1:26">
      <c r="A564" s="900"/>
      <c r="B564" s="920"/>
      <c r="C564" s="920"/>
      <c r="D564" s="920"/>
      <c r="E564" s="920"/>
      <c r="F564" s="920"/>
      <c r="G564" s="920"/>
      <c r="V564" s="920"/>
      <c r="W564" s="920"/>
      <c r="X564" s="900"/>
      <c r="Y564" s="900"/>
      <c r="Z564" s="900"/>
    </row>
    <row r="565" spans="1:26">
      <c r="A565" s="900"/>
      <c r="B565" s="920"/>
      <c r="C565" s="920"/>
      <c r="D565" s="920"/>
      <c r="E565" s="920"/>
      <c r="F565" s="920"/>
      <c r="G565" s="920"/>
      <c r="V565" s="920"/>
      <c r="W565" s="920"/>
      <c r="X565" s="900"/>
      <c r="Y565" s="900"/>
      <c r="Z565" s="900"/>
    </row>
    <row r="566" spans="1:26">
      <c r="A566" s="900"/>
      <c r="B566" s="920"/>
      <c r="C566" s="920"/>
      <c r="D566" s="920"/>
      <c r="E566" s="920"/>
      <c r="F566" s="920"/>
      <c r="G566" s="920"/>
      <c r="V566" s="920"/>
      <c r="W566" s="920"/>
      <c r="X566" s="900"/>
      <c r="Y566" s="900"/>
      <c r="Z566" s="900"/>
    </row>
    <row r="567" spans="1:26">
      <c r="A567" s="900"/>
      <c r="B567" s="920"/>
      <c r="C567" s="920"/>
      <c r="D567" s="920"/>
      <c r="E567" s="920"/>
      <c r="F567" s="920"/>
      <c r="G567" s="920"/>
      <c r="V567" s="920"/>
      <c r="W567" s="920"/>
      <c r="X567" s="900"/>
      <c r="Y567" s="900"/>
      <c r="Z567" s="900"/>
    </row>
    <row r="568" spans="1:26">
      <c r="A568" s="900"/>
      <c r="B568" s="920"/>
      <c r="C568" s="920"/>
      <c r="D568" s="920"/>
      <c r="E568" s="920"/>
      <c r="F568" s="920"/>
      <c r="G568" s="920"/>
      <c r="V568" s="920"/>
      <c r="W568" s="920"/>
      <c r="X568" s="900"/>
      <c r="Y568" s="900"/>
      <c r="Z568" s="900"/>
    </row>
    <row r="569" spans="1:26">
      <c r="A569" s="900"/>
      <c r="B569" s="920"/>
      <c r="C569" s="920"/>
      <c r="D569" s="920"/>
      <c r="E569" s="920"/>
      <c r="F569" s="920"/>
      <c r="G569" s="920"/>
      <c r="V569" s="920"/>
      <c r="W569" s="920"/>
      <c r="X569" s="900"/>
      <c r="Y569" s="900"/>
      <c r="Z569" s="900"/>
    </row>
    <row r="570" spans="1:26">
      <c r="A570" s="900"/>
      <c r="B570" s="920"/>
      <c r="C570" s="920"/>
      <c r="D570" s="920"/>
      <c r="E570" s="920"/>
      <c r="F570" s="920"/>
      <c r="G570" s="920"/>
      <c r="V570" s="920"/>
      <c r="W570" s="920"/>
      <c r="X570" s="900"/>
      <c r="Y570" s="900"/>
      <c r="Z570" s="900"/>
    </row>
    <row r="571" spans="1:26">
      <c r="A571" s="900"/>
      <c r="B571" s="920"/>
      <c r="C571" s="920"/>
      <c r="D571" s="920"/>
      <c r="E571" s="920"/>
      <c r="F571" s="920"/>
      <c r="G571" s="920"/>
      <c r="V571" s="920"/>
      <c r="W571" s="920"/>
      <c r="X571" s="900"/>
      <c r="Y571" s="900"/>
      <c r="Z571" s="900"/>
    </row>
    <row r="572" spans="1:26">
      <c r="A572" s="900"/>
      <c r="B572" s="920"/>
      <c r="C572" s="920"/>
      <c r="D572" s="920"/>
      <c r="E572" s="920"/>
      <c r="F572" s="920"/>
      <c r="G572" s="920"/>
      <c r="V572" s="920"/>
      <c r="W572" s="920"/>
      <c r="X572" s="900"/>
      <c r="Y572" s="900"/>
      <c r="Z572" s="900"/>
    </row>
    <row r="573" spans="1:26">
      <c r="A573" s="900"/>
      <c r="B573" s="920"/>
      <c r="C573" s="920"/>
      <c r="D573" s="920"/>
      <c r="E573" s="920"/>
      <c r="F573" s="920"/>
      <c r="G573" s="920"/>
      <c r="V573" s="920"/>
      <c r="W573" s="920"/>
      <c r="X573" s="900"/>
      <c r="Y573" s="900"/>
      <c r="Z573" s="900"/>
    </row>
    <row r="574" spans="1:26">
      <c r="A574" s="900"/>
      <c r="B574" s="920"/>
      <c r="C574" s="920"/>
      <c r="D574" s="920"/>
      <c r="E574" s="920"/>
      <c r="F574" s="920"/>
      <c r="G574" s="920"/>
      <c r="V574" s="920"/>
      <c r="W574" s="920"/>
      <c r="X574" s="900"/>
      <c r="Y574" s="900"/>
      <c r="Z574" s="900"/>
    </row>
    <row r="575" spans="1:26">
      <c r="A575" s="900"/>
      <c r="B575" s="920"/>
      <c r="C575" s="920"/>
      <c r="D575" s="920"/>
      <c r="E575" s="920"/>
      <c r="F575" s="920"/>
      <c r="G575" s="920"/>
      <c r="V575" s="920"/>
      <c r="W575" s="920"/>
      <c r="X575" s="900"/>
      <c r="Y575" s="900"/>
      <c r="Z575" s="900"/>
    </row>
    <row r="576" spans="1:26">
      <c r="A576" s="900"/>
      <c r="B576" s="920"/>
      <c r="C576" s="920"/>
      <c r="D576" s="920"/>
      <c r="E576" s="920"/>
      <c r="F576" s="920"/>
      <c r="G576" s="920"/>
      <c r="V576" s="920"/>
      <c r="W576" s="920"/>
      <c r="X576" s="900"/>
      <c r="Y576" s="900"/>
      <c r="Z576" s="900"/>
    </row>
    <row r="577" spans="1:26">
      <c r="A577" s="900"/>
      <c r="B577" s="920"/>
      <c r="C577" s="920"/>
      <c r="D577" s="920"/>
      <c r="E577" s="920"/>
      <c r="F577" s="920"/>
      <c r="G577" s="920"/>
      <c r="V577" s="920"/>
      <c r="W577" s="920"/>
      <c r="X577" s="900"/>
      <c r="Y577" s="900"/>
      <c r="Z577" s="900"/>
    </row>
    <row r="578" spans="1:26">
      <c r="A578" s="900"/>
      <c r="B578" s="920"/>
      <c r="C578" s="920"/>
      <c r="D578" s="920"/>
      <c r="E578" s="920"/>
      <c r="F578" s="920"/>
      <c r="G578" s="920"/>
      <c r="V578" s="920"/>
      <c r="W578" s="920"/>
      <c r="X578" s="900"/>
      <c r="Y578" s="900"/>
      <c r="Z578" s="900"/>
    </row>
    <row r="579" spans="1:26">
      <c r="A579" s="900"/>
      <c r="B579" s="920"/>
      <c r="C579" s="920"/>
      <c r="D579" s="920"/>
      <c r="E579" s="920"/>
      <c r="F579" s="920"/>
      <c r="G579" s="920"/>
      <c r="V579" s="920"/>
      <c r="W579" s="920"/>
      <c r="X579" s="900"/>
      <c r="Y579" s="900"/>
      <c r="Z579" s="900"/>
    </row>
    <row r="580" spans="1:26">
      <c r="A580" s="900"/>
      <c r="B580" s="920"/>
      <c r="C580" s="920"/>
      <c r="D580" s="920"/>
      <c r="E580" s="920"/>
      <c r="F580" s="920"/>
      <c r="G580" s="920"/>
      <c r="V580" s="920"/>
      <c r="W580" s="920"/>
      <c r="X580" s="900"/>
      <c r="Y580" s="900"/>
      <c r="Z580" s="900"/>
    </row>
    <row r="581" spans="1:26">
      <c r="A581" s="900"/>
      <c r="B581" s="920"/>
      <c r="C581" s="920"/>
      <c r="D581" s="920"/>
      <c r="E581" s="920"/>
      <c r="F581" s="920"/>
      <c r="G581" s="920"/>
      <c r="V581" s="920"/>
      <c r="W581" s="920"/>
      <c r="X581" s="900"/>
      <c r="Y581" s="900"/>
      <c r="Z581" s="900"/>
    </row>
    <row r="582" spans="1:26">
      <c r="A582" s="900"/>
      <c r="B582" s="920"/>
      <c r="C582" s="920"/>
      <c r="D582" s="920"/>
      <c r="E582" s="920"/>
      <c r="F582" s="920"/>
      <c r="G582" s="920"/>
      <c r="V582" s="920"/>
      <c r="W582" s="920"/>
      <c r="X582" s="900"/>
      <c r="Y582" s="900"/>
      <c r="Z582" s="900"/>
    </row>
    <row r="583" spans="1:26">
      <c r="A583" s="900"/>
      <c r="B583" s="920"/>
      <c r="C583" s="920"/>
      <c r="D583" s="920"/>
      <c r="E583" s="920"/>
      <c r="F583" s="920"/>
      <c r="G583" s="920"/>
      <c r="V583" s="920"/>
      <c r="W583" s="920"/>
      <c r="X583" s="900"/>
      <c r="Y583" s="900"/>
      <c r="Z583" s="900"/>
    </row>
    <row r="584" spans="1:26">
      <c r="A584" s="900"/>
      <c r="B584" s="920"/>
      <c r="C584" s="920"/>
      <c r="D584" s="920"/>
      <c r="E584" s="920"/>
      <c r="F584" s="920"/>
      <c r="G584" s="920"/>
      <c r="V584" s="920"/>
      <c r="W584" s="920"/>
      <c r="X584" s="900"/>
      <c r="Y584" s="900"/>
      <c r="Z584" s="900"/>
    </row>
    <row r="585" spans="1:26">
      <c r="A585" s="900"/>
      <c r="B585" s="920"/>
      <c r="C585" s="920"/>
      <c r="D585" s="920"/>
      <c r="E585" s="920"/>
      <c r="F585" s="920"/>
      <c r="G585" s="920"/>
      <c r="V585" s="920"/>
      <c r="W585" s="920"/>
      <c r="X585" s="900"/>
      <c r="Y585" s="900"/>
      <c r="Z585" s="900"/>
    </row>
    <row r="586" spans="1:26">
      <c r="A586" s="900"/>
      <c r="B586" s="920"/>
      <c r="C586" s="920"/>
      <c r="D586" s="920"/>
      <c r="E586" s="920"/>
      <c r="F586" s="920"/>
      <c r="G586" s="920"/>
      <c r="V586" s="920"/>
      <c r="W586" s="920"/>
      <c r="X586" s="900"/>
      <c r="Y586" s="900"/>
      <c r="Z586" s="900"/>
    </row>
    <row r="587" spans="1:26">
      <c r="A587" s="900"/>
      <c r="B587" s="920"/>
      <c r="C587" s="920"/>
      <c r="D587" s="920"/>
      <c r="E587" s="920"/>
      <c r="F587" s="920"/>
      <c r="G587" s="920"/>
      <c r="V587" s="920"/>
      <c r="W587" s="920"/>
      <c r="X587" s="900"/>
      <c r="Y587" s="900"/>
      <c r="Z587" s="900"/>
    </row>
    <row r="588" spans="1:26">
      <c r="A588" s="900"/>
      <c r="B588" s="920"/>
      <c r="C588" s="920"/>
      <c r="D588" s="920"/>
      <c r="E588" s="920"/>
      <c r="F588" s="920"/>
      <c r="G588" s="920"/>
      <c r="V588" s="920"/>
      <c r="W588" s="920"/>
      <c r="X588" s="900"/>
      <c r="Y588" s="900"/>
      <c r="Z588" s="900"/>
    </row>
    <row r="589" spans="1:26">
      <c r="A589" s="900"/>
      <c r="B589" s="920"/>
      <c r="C589" s="920"/>
      <c r="D589" s="920"/>
      <c r="E589" s="920"/>
      <c r="F589" s="920"/>
      <c r="G589" s="920"/>
      <c r="V589" s="920"/>
      <c r="W589" s="920"/>
      <c r="X589" s="900"/>
      <c r="Y589" s="900"/>
      <c r="Z589" s="900"/>
    </row>
    <row r="590" spans="1:26">
      <c r="A590" s="900"/>
      <c r="B590" s="920"/>
      <c r="C590" s="920"/>
      <c r="D590" s="920"/>
      <c r="E590" s="920"/>
      <c r="F590" s="920"/>
      <c r="G590" s="920"/>
      <c r="V590" s="920"/>
      <c r="W590" s="920"/>
      <c r="X590" s="900"/>
      <c r="Y590" s="900"/>
      <c r="Z590" s="900"/>
    </row>
    <row r="591" spans="1:26">
      <c r="A591" s="900"/>
      <c r="B591" s="920"/>
      <c r="C591" s="920"/>
      <c r="D591" s="920"/>
      <c r="E591" s="920"/>
      <c r="F591" s="920"/>
      <c r="G591" s="920"/>
      <c r="V591" s="920"/>
      <c r="W591" s="920"/>
      <c r="X591" s="900"/>
      <c r="Y591" s="900"/>
      <c r="Z591" s="900"/>
    </row>
    <row r="592" spans="1:26">
      <c r="A592" s="900"/>
      <c r="B592" s="920"/>
      <c r="C592" s="920"/>
      <c r="D592" s="920"/>
      <c r="E592" s="920"/>
      <c r="F592" s="920"/>
      <c r="G592" s="920"/>
      <c r="V592" s="920"/>
      <c r="W592" s="920"/>
      <c r="X592" s="900"/>
      <c r="Y592" s="900"/>
      <c r="Z592" s="900"/>
    </row>
    <row r="593" spans="1:26">
      <c r="A593" s="900"/>
      <c r="B593" s="920"/>
      <c r="C593" s="920"/>
      <c r="D593" s="920"/>
      <c r="E593" s="920"/>
      <c r="F593" s="920"/>
      <c r="G593" s="920"/>
      <c r="V593" s="920"/>
      <c r="W593" s="920"/>
      <c r="X593" s="900"/>
      <c r="Y593" s="900"/>
      <c r="Z593" s="900"/>
    </row>
    <row r="594" spans="1:26">
      <c r="A594" s="900"/>
      <c r="B594" s="920"/>
      <c r="C594" s="920"/>
      <c r="D594" s="920"/>
      <c r="E594" s="920"/>
      <c r="F594" s="920"/>
      <c r="G594" s="920"/>
      <c r="V594" s="920"/>
      <c r="W594" s="920"/>
      <c r="X594" s="900"/>
      <c r="Y594" s="900"/>
      <c r="Z594" s="900"/>
    </row>
    <row r="595" spans="1:26">
      <c r="A595" s="900"/>
      <c r="B595" s="920"/>
      <c r="C595" s="920"/>
      <c r="D595" s="920"/>
      <c r="E595" s="920"/>
      <c r="F595" s="920"/>
      <c r="G595" s="920"/>
      <c r="V595" s="920"/>
      <c r="W595" s="920"/>
      <c r="X595" s="900"/>
      <c r="Y595" s="900"/>
      <c r="Z595" s="900"/>
    </row>
    <row r="596" spans="1:26">
      <c r="A596" s="900"/>
      <c r="B596" s="920"/>
      <c r="C596" s="920"/>
      <c r="D596" s="920"/>
      <c r="E596" s="920"/>
      <c r="F596" s="920"/>
      <c r="G596" s="920"/>
      <c r="V596" s="920"/>
      <c r="W596" s="920"/>
      <c r="X596" s="900"/>
      <c r="Y596" s="900"/>
      <c r="Z596" s="900"/>
    </row>
    <row r="597" spans="1:26">
      <c r="A597" s="900"/>
      <c r="B597" s="920"/>
      <c r="C597" s="920"/>
      <c r="D597" s="920"/>
      <c r="E597" s="920"/>
      <c r="F597" s="920"/>
      <c r="G597" s="920"/>
      <c r="V597" s="920"/>
      <c r="W597" s="920"/>
      <c r="X597" s="900"/>
      <c r="Y597" s="900"/>
      <c r="Z597" s="900"/>
    </row>
    <row r="598" spans="1:26">
      <c r="A598" s="900"/>
      <c r="B598" s="920"/>
      <c r="C598" s="920"/>
      <c r="D598" s="920"/>
      <c r="E598" s="920"/>
      <c r="F598" s="920"/>
      <c r="G598" s="920"/>
      <c r="V598" s="920"/>
      <c r="W598" s="920"/>
      <c r="X598" s="900"/>
      <c r="Y598" s="900"/>
      <c r="Z598" s="900"/>
    </row>
    <row r="599" spans="1:26">
      <c r="A599" s="900"/>
      <c r="B599" s="920"/>
      <c r="C599" s="920"/>
      <c r="D599" s="920"/>
      <c r="E599" s="920"/>
      <c r="F599" s="920"/>
      <c r="G599" s="920"/>
      <c r="V599" s="920"/>
      <c r="W599" s="920"/>
      <c r="X599" s="900"/>
      <c r="Y599" s="900"/>
      <c r="Z599" s="900"/>
    </row>
    <row r="600" spans="1:26">
      <c r="A600" s="900"/>
      <c r="B600" s="920"/>
      <c r="C600" s="920"/>
      <c r="D600" s="920"/>
      <c r="E600" s="920"/>
      <c r="F600" s="920"/>
      <c r="G600" s="920"/>
      <c r="V600" s="920"/>
      <c r="W600" s="920"/>
      <c r="X600" s="900"/>
      <c r="Y600" s="900"/>
      <c r="Z600" s="900"/>
    </row>
    <row r="601" spans="1:26">
      <c r="A601" s="900"/>
      <c r="B601" s="920"/>
      <c r="C601" s="920"/>
      <c r="D601" s="920"/>
      <c r="E601" s="920"/>
      <c r="F601" s="920"/>
      <c r="G601" s="920"/>
      <c r="V601" s="920"/>
      <c r="W601" s="920"/>
      <c r="X601" s="900"/>
      <c r="Y601" s="900"/>
      <c r="Z601" s="900"/>
    </row>
    <row r="602" spans="1:26">
      <c r="A602" s="900"/>
      <c r="B602" s="920"/>
      <c r="C602" s="920"/>
      <c r="D602" s="920"/>
      <c r="E602" s="920"/>
      <c r="F602" s="920"/>
      <c r="G602" s="920"/>
      <c r="V602" s="920"/>
      <c r="W602" s="920"/>
      <c r="X602" s="900"/>
      <c r="Y602" s="900"/>
      <c r="Z602" s="900"/>
    </row>
    <row r="603" spans="1:26">
      <c r="A603" s="900"/>
      <c r="B603" s="920"/>
      <c r="C603" s="920"/>
      <c r="D603" s="920"/>
      <c r="E603" s="920"/>
      <c r="F603" s="920"/>
      <c r="G603" s="920"/>
      <c r="V603" s="920"/>
      <c r="W603" s="920"/>
      <c r="X603" s="900"/>
      <c r="Y603" s="900"/>
      <c r="Z603" s="900"/>
    </row>
    <row r="604" spans="1:26">
      <c r="A604" s="900"/>
      <c r="B604" s="920"/>
      <c r="C604" s="920"/>
      <c r="D604" s="920"/>
      <c r="E604" s="920"/>
      <c r="F604" s="920"/>
      <c r="G604" s="920"/>
      <c r="V604" s="920"/>
      <c r="W604" s="920"/>
      <c r="X604" s="900"/>
      <c r="Y604" s="900"/>
      <c r="Z604" s="900"/>
    </row>
    <row r="605" spans="1:26">
      <c r="A605" s="900"/>
      <c r="B605" s="920"/>
      <c r="C605" s="920"/>
      <c r="D605" s="920"/>
      <c r="E605" s="920"/>
      <c r="F605" s="920"/>
      <c r="G605" s="920"/>
      <c r="V605" s="920"/>
      <c r="W605" s="920"/>
      <c r="X605" s="900"/>
      <c r="Y605" s="900"/>
      <c r="Z605" s="900"/>
    </row>
    <row r="606" spans="1:26">
      <c r="A606" s="900"/>
      <c r="B606" s="920"/>
      <c r="C606" s="920"/>
      <c r="D606" s="920"/>
      <c r="E606" s="920"/>
      <c r="F606" s="920"/>
      <c r="G606" s="920"/>
      <c r="V606" s="920"/>
      <c r="W606" s="920"/>
      <c r="X606" s="900"/>
      <c r="Y606" s="900"/>
      <c r="Z606" s="900"/>
    </row>
    <row r="607" spans="1:26">
      <c r="A607" s="900"/>
      <c r="B607" s="920"/>
      <c r="C607" s="920"/>
      <c r="D607" s="920"/>
      <c r="E607" s="920"/>
      <c r="F607" s="920"/>
      <c r="G607" s="920"/>
      <c r="V607" s="920"/>
      <c r="W607" s="920"/>
      <c r="X607" s="900"/>
      <c r="Y607" s="900"/>
      <c r="Z607" s="900"/>
    </row>
    <row r="608" spans="1:26">
      <c r="A608" s="900"/>
      <c r="B608" s="920"/>
      <c r="C608" s="920"/>
      <c r="D608" s="920"/>
      <c r="E608" s="920"/>
      <c r="F608" s="920"/>
      <c r="G608" s="920"/>
      <c r="V608" s="920"/>
      <c r="W608" s="920"/>
      <c r="X608" s="900"/>
      <c r="Y608" s="900"/>
      <c r="Z608" s="900"/>
    </row>
    <row r="609" spans="1:26">
      <c r="A609" s="900"/>
      <c r="B609" s="920"/>
      <c r="C609" s="920"/>
      <c r="D609" s="920"/>
      <c r="E609" s="920"/>
      <c r="F609" s="920"/>
      <c r="G609" s="920"/>
      <c r="V609" s="920"/>
      <c r="W609" s="920"/>
      <c r="X609" s="900"/>
      <c r="Y609" s="900"/>
      <c r="Z609" s="900"/>
    </row>
    <row r="610" spans="1:26">
      <c r="A610" s="900"/>
      <c r="B610" s="920"/>
      <c r="C610" s="920"/>
      <c r="D610" s="920"/>
      <c r="E610" s="920"/>
      <c r="F610" s="920"/>
      <c r="G610" s="920"/>
      <c r="V610" s="920"/>
      <c r="W610" s="920"/>
      <c r="X610" s="900"/>
      <c r="Y610" s="900"/>
      <c r="Z610" s="900"/>
    </row>
    <row r="611" spans="1:26">
      <c r="A611" s="900"/>
      <c r="B611" s="920"/>
      <c r="C611" s="920"/>
      <c r="D611" s="920"/>
      <c r="E611" s="920"/>
      <c r="F611" s="920"/>
      <c r="G611" s="920"/>
      <c r="V611" s="920"/>
      <c r="W611" s="920"/>
      <c r="X611" s="900"/>
      <c r="Y611" s="900"/>
      <c r="Z611" s="900"/>
    </row>
    <row r="612" spans="1:26">
      <c r="A612" s="900"/>
      <c r="B612" s="920"/>
      <c r="C612" s="920"/>
      <c r="D612" s="920"/>
      <c r="E612" s="920"/>
      <c r="F612" s="920"/>
      <c r="G612" s="920"/>
      <c r="V612" s="920"/>
      <c r="W612" s="920"/>
      <c r="X612" s="900"/>
      <c r="Y612" s="900"/>
      <c r="Z612" s="900"/>
    </row>
    <row r="613" spans="1:26">
      <c r="A613" s="900"/>
      <c r="B613" s="920"/>
      <c r="C613" s="920"/>
      <c r="D613" s="920"/>
      <c r="E613" s="920"/>
      <c r="F613" s="920"/>
      <c r="G613" s="920"/>
      <c r="V613" s="920"/>
      <c r="W613" s="920"/>
      <c r="X613" s="900"/>
      <c r="Y613" s="900"/>
      <c r="Z613" s="900"/>
    </row>
    <row r="614" spans="1:26">
      <c r="A614" s="900"/>
      <c r="B614" s="920"/>
      <c r="C614" s="920"/>
      <c r="D614" s="920"/>
      <c r="E614" s="920"/>
      <c r="F614" s="920"/>
      <c r="G614" s="920"/>
      <c r="V614" s="920"/>
      <c r="W614" s="920"/>
      <c r="X614" s="900"/>
      <c r="Y614" s="900"/>
      <c r="Z614" s="900"/>
    </row>
    <row r="615" spans="1:26">
      <c r="A615" s="900"/>
      <c r="B615" s="920"/>
      <c r="C615" s="920"/>
      <c r="D615" s="920"/>
      <c r="E615" s="920"/>
      <c r="F615" s="920"/>
      <c r="G615" s="920"/>
      <c r="V615" s="920"/>
      <c r="W615" s="920"/>
      <c r="X615" s="900"/>
      <c r="Y615" s="900"/>
      <c r="Z615" s="900"/>
    </row>
    <row r="616" spans="1:26">
      <c r="A616" s="900"/>
      <c r="B616" s="920"/>
      <c r="C616" s="920"/>
      <c r="D616" s="920"/>
      <c r="E616" s="920"/>
      <c r="F616" s="920"/>
      <c r="G616" s="920"/>
      <c r="V616" s="920"/>
      <c r="W616" s="920"/>
      <c r="X616" s="900"/>
      <c r="Y616" s="900"/>
      <c r="Z616" s="900"/>
    </row>
    <row r="617" spans="1:26">
      <c r="A617" s="900"/>
      <c r="B617" s="920"/>
      <c r="C617" s="920"/>
      <c r="D617" s="920"/>
      <c r="E617" s="920"/>
      <c r="F617" s="920"/>
      <c r="G617" s="920"/>
      <c r="V617" s="920"/>
      <c r="W617" s="920"/>
      <c r="X617" s="900"/>
      <c r="Y617" s="900"/>
      <c r="Z617" s="900"/>
    </row>
    <row r="618" spans="1:26">
      <c r="A618" s="900"/>
      <c r="B618" s="920"/>
      <c r="C618" s="920"/>
      <c r="D618" s="920"/>
      <c r="E618" s="920"/>
      <c r="F618" s="920"/>
      <c r="G618" s="920"/>
      <c r="V618" s="920"/>
      <c r="W618" s="920"/>
      <c r="X618" s="900"/>
      <c r="Y618" s="900"/>
      <c r="Z618" s="900"/>
    </row>
    <row r="619" spans="1:26">
      <c r="A619" s="900"/>
      <c r="B619" s="920"/>
      <c r="C619" s="920"/>
      <c r="D619" s="920"/>
      <c r="E619" s="920"/>
      <c r="F619" s="920"/>
      <c r="G619" s="920"/>
      <c r="V619" s="920"/>
      <c r="W619" s="920"/>
      <c r="X619" s="900"/>
      <c r="Y619" s="900"/>
      <c r="Z619" s="900"/>
    </row>
    <row r="620" spans="1:26">
      <c r="A620" s="900"/>
      <c r="B620" s="920"/>
      <c r="C620" s="920"/>
      <c r="D620" s="920"/>
      <c r="E620" s="920"/>
      <c r="F620" s="920"/>
      <c r="G620" s="920"/>
      <c r="V620" s="920"/>
      <c r="W620" s="920"/>
      <c r="X620" s="900"/>
      <c r="Y620" s="900"/>
      <c r="Z620" s="900"/>
    </row>
    <row r="621" spans="1:26">
      <c r="A621" s="900"/>
      <c r="B621" s="920"/>
      <c r="C621" s="920"/>
      <c r="D621" s="920"/>
      <c r="E621" s="920"/>
      <c r="F621" s="920"/>
      <c r="G621" s="920"/>
      <c r="V621" s="920"/>
      <c r="W621" s="920"/>
      <c r="X621" s="900"/>
      <c r="Y621" s="900"/>
      <c r="Z621" s="900"/>
    </row>
    <row r="622" spans="1:26">
      <c r="A622" s="900"/>
      <c r="B622" s="920"/>
      <c r="C622" s="920"/>
      <c r="D622" s="920"/>
      <c r="E622" s="920"/>
      <c r="F622" s="920"/>
      <c r="G622" s="920"/>
      <c r="V622" s="920"/>
      <c r="W622" s="920"/>
      <c r="X622" s="900"/>
      <c r="Y622" s="900"/>
      <c r="Z622" s="900"/>
    </row>
    <row r="623" spans="1:26">
      <c r="A623" s="900"/>
      <c r="B623" s="920"/>
      <c r="C623" s="920"/>
      <c r="D623" s="920"/>
      <c r="E623" s="920"/>
      <c r="F623" s="920"/>
      <c r="G623" s="920"/>
      <c r="V623" s="920"/>
      <c r="W623" s="920"/>
      <c r="X623" s="900"/>
      <c r="Y623" s="900"/>
      <c r="Z623" s="900"/>
    </row>
    <row r="624" spans="1:26">
      <c r="A624" s="900"/>
      <c r="B624" s="920"/>
      <c r="C624" s="920"/>
      <c r="D624" s="920"/>
      <c r="E624" s="920"/>
      <c r="F624" s="920"/>
      <c r="G624" s="920"/>
      <c r="V624" s="920"/>
      <c r="W624" s="920"/>
      <c r="X624" s="900"/>
      <c r="Y624" s="900"/>
      <c r="Z624" s="900"/>
    </row>
    <row r="625" spans="1:26">
      <c r="A625" s="900"/>
      <c r="B625" s="920"/>
      <c r="C625" s="920"/>
      <c r="D625" s="920"/>
      <c r="E625" s="920"/>
      <c r="F625" s="920"/>
      <c r="G625" s="920"/>
      <c r="V625" s="920"/>
      <c r="W625" s="920"/>
      <c r="X625" s="900"/>
      <c r="Y625" s="900"/>
      <c r="Z625" s="900"/>
    </row>
    <row r="626" spans="1:26">
      <c r="A626" s="900"/>
      <c r="B626" s="920"/>
      <c r="C626" s="920"/>
      <c r="D626" s="920"/>
      <c r="E626" s="920"/>
      <c r="F626" s="920"/>
      <c r="G626" s="920"/>
      <c r="V626" s="920"/>
      <c r="W626" s="920"/>
      <c r="X626" s="900"/>
      <c r="Y626" s="900"/>
      <c r="Z626" s="900"/>
    </row>
    <row r="627" spans="1:26">
      <c r="A627" s="900"/>
      <c r="B627" s="920"/>
      <c r="C627" s="920"/>
      <c r="D627" s="920"/>
      <c r="E627" s="920"/>
      <c r="F627" s="920"/>
      <c r="G627" s="920"/>
      <c r="V627" s="920"/>
      <c r="W627" s="920"/>
      <c r="X627" s="900"/>
      <c r="Y627" s="900"/>
      <c r="Z627" s="900"/>
    </row>
    <row r="628" spans="1:26">
      <c r="A628" s="900"/>
      <c r="B628" s="920"/>
      <c r="C628" s="920"/>
      <c r="D628" s="920"/>
      <c r="E628" s="920"/>
      <c r="F628" s="920"/>
      <c r="G628" s="920"/>
      <c r="V628" s="920"/>
      <c r="W628" s="920"/>
      <c r="X628" s="900"/>
      <c r="Y628" s="900"/>
      <c r="Z628" s="900"/>
    </row>
    <row r="629" spans="1:26">
      <c r="A629" s="900"/>
      <c r="B629" s="920"/>
      <c r="C629" s="920"/>
      <c r="D629" s="920"/>
      <c r="E629" s="920"/>
      <c r="F629" s="920"/>
      <c r="G629" s="920"/>
      <c r="V629" s="920"/>
      <c r="W629" s="920"/>
      <c r="X629" s="900"/>
      <c r="Y629" s="900"/>
      <c r="Z629" s="900"/>
    </row>
    <row r="630" spans="1:26">
      <c r="A630" s="900"/>
      <c r="B630" s="920"/>
      <c r="C630" s="920"/>
      <c r="D630" s="920"/>
      <c r="E630" s="920"/>
      <c r="F630" s="920"/>
      <c r="G630" s="920"/>
      <c r="V630" s="920"/>
      <c r="W630" s="920"/>
      <c r="X630" s="900"/>
      <c r="Y630" s="900"/>
      <c r="Z630" s="900"/>
    </row>
    <row r="631" spans="1:26">
      <c r="A631" s="900"/>
      <c r="B631" s="920"/>
      <c r="C631" s="920"/>
      <c r="D631" s="920"/>
      <c r="E631" s="920"/>
      <c r="F631" s="920"/>
      <c r="G631" s="920"/>
      <c r="V631" s="920"/>
      <c r="W631" s="920"/>
      <c r="X631" s="900"/>
      <c r="Y631" s="900"/>
      <c r="Z631" s="900"/>
    </row>
    <row r="632" spans="1:26">
      <c r="A632" s="900"/>
      <c r="B632" s="920"/>
      <c r="C632" s="920"/>
      <c r="D632" s="920"/>
      <c r="E632" s="920"/>
      <c r="F632" s="920"/>
      <c r="G632" s="920"/>
      <c r="V632" s="920"/>
      <c r="W632" s="920"/>
      <c r="X632" s="900"/>
      <c r="Y632" s="900"/>
      <c r="Z632" s="900"/>
    </row>
    <row r="633" spans="1:26">
      <c r="A633" s="900"/>
      <c r="B633" s="920"/>
      <c r="C633" s="920"/>
      <c r="D633" s="920"/>
      <c r="E633" s="920"/>
      <c r="F633" s="920"/>
      <c r="G633" s="920"/>
      <c r="V633" s="920"/>
      <c r="W633" s="920"/>
      <c r="X633" s="900"/>
      <c r="Y633" s="900"/>
      <c r="Z633" s="900"/>
    </row>
    <row r="634" spans="1:26">
      <c r="A634" s="900"/>
      <c r="B634" s="920"/>
      <c r="C634" s="920"/>
      <c r="D634" s="920"/>
      <c r="E634" s="920"/>
      <c r="F634" s="920"/>
      <c r="G634" s="920"/>
      <c r="V634" s="920"/>
      <c r="W634" s="920"/>
      <c r="X634" s="900"/>
      <c r="Y634" s="900"/>
      <c r="Z634" s="900"/>
    </row>
    <row r="635" spans="1:26">
      <c r="A635" s="900"/>
      <c r="B635" s="920"/>
      <c r="C635" s="920"/>
      <c r="D635" s="920"/>
      <c r="E635" s="920"/>
      <c r="F635" s="920"/>
      <c r="G635" s="920"/>
      <c r="V635" s="920"/>
      <c r="W635" s="920"/>
      <c r="X635" s="900"/>
      <c r="Y635" s="900"/>
      <c r="Z635" s="900"/>
    </row>
    <row r="636" spans="1:26">
      <c r="A636" s="900"/>
      <c r="B636" s="920"/>
      <c r="C636" s="920"/>
      <c r="D636" s="920"/>
      <c r="E636" s="920"/>
      <c r="F636" s="920"/>
      <c r="G636" s="920"/>
      <c r="V636" s="920"/>
      <c r="W636" s="920"/>
      <c r="X636" s="900"/>
      <c r="Y636" s="900"/>
      <c r="Z636" s="900"/>
    </row>
    <row r="637" spans="1:26">
      <c r="A637" s="900"/>
      <c r="B637" s="920"/>
      <c r="C637" s="920"/>
      <c r="D637" s="920"/>
      <c r="E637" s="920"/>
      <c r="F637" s="920"/>
      <c r="G637" s="920"/>
      <c r="V637" s="920"/>
      <c r="W637" s="920"/>
      <c r="X637" s="900"/>
      <c r="Y637" s="900"/>
      <c r="Z637" s="900"/>
    </row>
    <row r="638" spans="1:26">
      <c r="A638" s="900"/>
      <c r="B638" s="920"/>
      <c r="C638" s="920"/>
      <c r="D638" s="920"/>
      <c r="E638" s="920"/>
      <c r="F638" s="920"/>
      <c r="G638" s="920"/>
      <c r="V638" s="920"/>
      <c r="W638" s="920"/>
      <c r="X638" s="900"/>
      <c r="Y638" s="900"/>
      <c r="Z638" s="900"/>
    </row>
    <row r="639" spans="1:26">
      <c r="A639" s="900"/>
      <c r="B639" s="920"/>
      <c r="C639" s="920"/>
      <c r="D639" s="920"/>
      <c r="E639" s="920"/>
      <c r="F639" s="920"/>
      <c r="G639" s="920"/>
      <c r="V639" s="920"/>
      <c r="W639" s="920"/>
      <c r="X639" s="900"/>
      <c r="Y639" s="900"/>
      <c r="Z639" s="900"/>
    </row>
    <row r="640" spans="1:26">
      <c r="A640" s="900"/>
      <c r="B640" s="920"/>
      <c r="C640" s="920"/>
      <c r="D640" s="920"/>
      <c r="E640" s="920"/>
      <c r="F640" s="920"/>
      <c r="G640" s="920"/>
      <c r="V640" s="920"/>
      <c r="W640" s="920"/>
      <c r="X640" s="900"/>
      <c r="Y640" s="900"/>
      <c r="Z640" s="900"/>
    </row>
    <row r="641" spans="1:26">
      <c r="A641" s="900"/>
      <c r="B641" s="920"/>
      <c r="C641" s="920"/>
      <c r="D641" s="920"/>
      <c r="E641" s="920"/>
      <c r="F641" s="920"/>
      <c r="G641" s="920"/>
      <c r="V641" s="920"/>
      <c r="W641" s="920"/>
      <c r="X641" s="900"/>
      <c r="Y641" s="900"/>
      <c r="Z641" s="900"/>
    </row>
    <row r="642" spans="1:26">
      <c r="A642" s="900"/>
      <c r="B642" s="920"/>
      <c r="C642" s="920"/>
      <c r="D642" s="920"/>
      <c r="E642" s="920"/>
      <c r="F642" s="920"/>
      <c r="G642" s="920"/>
      <c r="V642" s="920"/>
      <c r="W642" s="920"/>
      <c r="X642" s="900"/>
      <c r="Y642" s="900"/>
      <c r="Z642" s="900"/>
    </row>
    <row r="643" spans="1:26">
      <c r="A643" s="900"/>
      <c r="B643" s="920"/>
      <c r="C643" s="920"/>
      <c r="D643" s="920"/>
      <c r="E643" s="920"/>
      <c r="F643" s="920"/>
      <c r="G643" s="920"/>
      <c r="V643" s="920"/>
      <c r="W643" s="920"/>
      <c r="X643" s="900"/>
      <c r="Y643" s="900"/>
      <c r="Z643" s="900"/>
    </row>
    <row r="644" spans="1:26">
      <c r="A644" s="900"/>
      <c r="B644" s="920"/>
      <c r="C644" s="920"/>
      <c r="D644" s="920"/>
      <c r="E644" s="920"/>
      <c r="F644" s="920"/>
      <c r="G644" s="920"/>
      <c r="V644" s="920"/>
      <c r="W644" s="920"/>
      <c r="X644" s="900"/>
      <c r="Y644" s="900"/>
      <c r="Z644" s="900"/>
    </row>
    <row r="645" spans="1:26">
      <c r="A645" s="900"/>
      <c r="B645" s="920"/>
      <c r="C645" s="920"/>
      <c r="D645" s="920"/>
      <c r="E645" s="920"/>
      <c r="F645" s="920"/>
      <c r="G645" s="920"/>
      <c r="V645" s="920"/>
      <c r="W645" s="920"/>
      <c r="X645" s="900"/>
      <c r="Y645" s="900"/>
      <c r="Z645" s="900"/>
    </row>
    <row r="646" spans="1:26">
      <c r="A646" s="900"/>
      <c r="B646" s="920"/>
      <c r="C646" s="920"/>
      <c r="D646" s="920"/>
      <c r="E646" s="920"/>
      <c r="F646" s="920"/>
      <c r="G646" s="920"/>
      <c r="V646" s="920"/>
      <c r="W646" s="920"/>
      <c r="X646" s="900"/>
      <c r="Y646" s="900"/>
      <c r="Z646" s="900"/>
    </row>
    <row r="647" spans="1:26">
      <c r="A647" s="900"/>
      <c r="B647" s="920"/>
      <c r="C647" s="920"/>
      <c r="D647" s="920"/>
      <c r="E647" s="920"/>
      <c r="F647" s="920"/>
      <c r="G647" s="920"/>
      <c r="V647" s="920"/>
      <c r="W647" s="920"/>
      <c r="X647" s="900"/>
      <c r="Y647" s="900"/>
      <c r="Z647" s="900"/>
    </row>
    <row r="648" spans="1:26">
      <c r="A648" s="900"/>
      <c r="B648" s="920"/>
      <c r="C648" s="920"/>
      <c r="D648" s="920"/>
      <c r="E648" s="920"/>
      <c r="F648" s="920"/>
      <c r="G648" s="920"/>
      <c r="V648" s="920"/>
      <c r="W648" s="920"/>
      <c r="X648" s="900"/>
      <c r="Y648" s="900"/>
      <c r="Z648" s="900"/>
    </row>
    <row r="649" spans="1:26">
      <c r="A649" s="900"/>
      <c r="B649" s="920"/>
      <c r="C649" s="920"/>
      <c r="D649" s="920"/>
      <c r="E649" s="920"/>
      <c r="F649" s="920"/>
      <c r="G649" s="920"/>
      <c r="V649" s="920"/>
      <c r="W649" s="920"/>
      <c r="X649" s="900"/>
      <c r="Y649" s="900"/>
      <c r="Z649" s="900"/>
    </row>
    <row r="650" spans="1:26">
      <c r="A650" s="900"/>
      <c r="B650" s="920"/>
      <c r="C650" s="920"/>
      <c r="D650" s="920"/>
      <c r="E650" s="920"/>
      <c r="F650" s="920"/>
      <c r="G650" s="920"/>
      <c r="V650" s="920"/>
      <c r="W650" s="920"/>
      <c r="X650" s="900"/>
      <c r="Y650" s="900"/>
      <c r="Z650" s="900"/>
    </row>
    <row r="651" spans="1:26">
      <c r="A651" s="900"/>
      <c r="B651" s="920"/>
      <c r="C651" s="920"/>
      <c r="D651" s="920"/>
      <c r="E651" s="920"/>
      <c r="F651" s="920"/>
      <c r="G651" s="920"/>
      <c r="V651" s="920"/>
      <c r="W651" s="920"/>
      <c r="X651" s="900"/>
      <c r="Y651" s="900"/>
      <c r="Z651" s="900"/>
    </row>
    <row r="652" spans="1:26">
      <c r="A652" s="900"/>
      <c r="B652" s="920"/>
      <c r="C652" s="920"/>
      <c r="D652" s="920"/>
      <c r="E652" s="920"/>
      <c r="F652" s="920"/>
      <c r="G652" s="920"/>
      <c r="V652" s="920"/>
      <c r="W652" s="920"/>
      <c r="X652" s="900"/>
      <c r="Y652" s="900"/>
      <c r="Z652" s="900"/>
    </row>
    <row r="653" spans="1:26">
      <c r="A653" s="900"/>
      <c r="B653" s="920"/>
      <c r="C653" s="920"/>
      <c r="D653" s="920"/>
      <c r="E653" s="920"/>
      <c r="F653" s="920"/>
      <c r="G653" s="920"/>
      <c r="V653" s="920"/>
      <c r="W653" s="920"/>
      <c r="X653" s="900"/>
      <c r="Y653" s="900"/>
      <c r="Z653" s="900"/>
    </row>
    <row r="654" spans="1:26">
      <c r="A654" s="900"/>
      <c r="B654" s="920"/>
      <c r="C654" s="920"/>
      <c r="D654" s="920"/>
      <c r="E654" s="920"/>
      <c r="F654" s="920"/>
      <c r="G654" s="920"/>
      <c r="V654" s="920"/>
      <c r="W654" s="920"/>
      <c r="X654" s="900"/>
      <c r="Y654" s="900"/>
      <c r="Z654" s="900"/>
    </row>
    <row r="655" spans="1:26">
      <c r="A655" s="900"/>
      <c r="B655" s="920"/>
      <c r="C655" s="920"/>
      <c r="D655" s="920"/>
      <c r="E655" s="920"/>
      <c r="F655" s="920"/>
      <c r="G655" s="920"/>
      <c r="V655" s="920"/>
      <c r="W655" s="920"/>
      <c r="X655" s="900"/>
      <c r="Y655" s="900"/>
      <c r="Z655" s="900"/>
    </row>
    <row r="656" spans="1:26">
      <c r="A656" s="900"/>
      <c r="B656" s="920"/>
      <c r="C656" s="920"/>
      <c r="D656" s="920"/>
      <c r="E656" s="920"/>
      <c r="F656" s="920"/>
      <c r="G656" s="920"/>
      <c r="V656" s="920"/>
      <c r="W656" s="920"/>
      <c r="X656" s="900"/>
      <c r="Y656" s="900"/>
      <c r="Z656" s="900"/>
    </row>
    <row r="657" spans="1:26">
      <c r="A657" s="900"/>
      <c r="B657" s="920"/>
      <c r="C657" s="920"/>
      <c r="D657" s="920"/>
      <c r="E657" s="920"/>
      <c r="F657" s="920"/>
      <c r="G657" s="920"/>
      <c r="V657" s="920"/>
      <c r="W657" s="920"/>
      <c r="X657" s="900"/>
      <c r="Y657" s="900"/>
      <c r="Z657" s="900"/>
    </row>
    <row r="658" spans="1:26">
      <c r="A658" s="900"/>
      <c r="B658" s="920"/>
      <c r="C658" s="920"/>
      <c r="D658" s="920"/>
      <c r="E658" s="920"/>
      <c r="F658" s="920"/>
      <c r="G658" s="920"/>
      <c r="V658" s="920"/>
      <c r="W658" s="920"/>
      <c r="X658" s="900"/>
      <c r="Y658" s="900"/>
      <c r="Z658" s="900"/>
    </row>
    <row r="659" spans="1:26">
      <c r="A659" s="900"/>
      <c r="B659" s="920"/>
      <c r="C659" s="920"/>
      <c r="D659" s="920"/>
      <c r="E659" s="920"/>
      <c r="F659" s="920"/>
      <c r="G659" s="920"/>
      <c r="V659" s="920"/>
      <c r="W659" s="920"/>
      <c r="X659" s="900"/>
      <c r="Y659" s="900"/>
      <c r="Z659" s="900"/>
    </row>
    <row r="660" spans="1:26">
      <c r="A660" s="900"/>
      <c r="B660" s="920"/>
      <c r="C660" s="920"/>
      <c r="D660" s="920"/>
      <c r="E660" s="920"/>
      <c r="F660" s="920"/>
      <c r="G660" s="920"/>
      <c r="V660" s="920"/>
      <c r="W660" s="920"/>
      <c r="X660" s="900"/>
      <c r="Y660" s="900"/>
      <c r="Z660" s="900"/>
    </row>
    <row r="661" spans="1:26">
      <c r="A661" s="900"/>
      <c r="B661" s="920"/>
      <c r="C661" s="920"/>
      <c r="D661" s="920"/>
      <c r="E661" s="920"/>
      <c r="F661" s="920"/>
      <c r="G661" s="920"/>
      <c r="V661" s="920"/>
      <c r="W661" s="920"/>
      <c r="X661" s="900"/>
      <c r="Y661" s="900"/>
      <c r="Z661" s="900"/>
    </row>
    <row r="662" spans="1:26">
      <c r="A662" s="900"/>
      <c r="B662" s="920"/>
      <c r="C662" s="920"/>
      <c r="D662" s="920"/>
      <c r="E662" s="920"/>
      <c r="F662" s="920"/>
      <c r="G662" s="920"/>
      <c r="V662" s="920"/>
      <c r="W662" s="920"/>
      <c r="X662" s="900"/>
      <c r="Y662" s="900"/>
      <c r="Z662" s="900"/>
    </row>
    <row r="663" spans="1:26">
      <c r="A663" s="900"/>
      <c r="B663" s="920"/>
      <c r="C663" s="920"/>
      <c r="D663" s="920"/>
      <c r="E663" s="920"/>
      <c r="F663" s="920"/>
      <c r="G663" s="920"/>
      <c r="V663" s="920"/>
      <c r="W663" s="920"/>
      <c r="X663" s="900"/>
      <c r="Y663" s="900"/>
      <c r="Z663" s="900"/>
    </row>
    <row r="664" spans="1:26">
      <c r="A664" s="900"/>
      <c r="B664" s="920"/>
      <c r="C664" s="920"/>
      <c r="D664" s="920"/>
      <c r="E664" s="920"/>
      <c r="F664" s="920"/>
      <c r="G664" s="920"/>
      <c r="V664" s="920"/>
      <c r="W664" s="920"/>
      <c r="X664" s="900"/>
      <c r="Y664" s="900"/>
      <c r="Z664" s="900"/>
    </row>
    <row r="665" spans="1:26">
      <c r="A665" s="900"/>
      <c r="B665" s="920"/>
      <c r="C665" s="920"/>
      <c r="D665" s="920"/>
      <c r="E665" s="920"/>
      <c r="F665" s="920"/>
      <c r="G665" s="920"/>
      <c r="V665" s="920"/>
      <c r="W665" s="920"/>
      <c r="X665" s="900"/>
      <c r="Y665" s="900"/>
      <c r="Z665" s="900"/>
    </row>
    <row r="666" spans="1:26">
      <c r="A666" s="900"/>
      <c r="B666" s="920"/>
      <c r="C666" s="920"/>
      <c r="D666" s="920"/>
      <c r="E666" s="920"/>
      <c r="F666" s="920"/>
      <c r="G666" s="920"/>
      <c r="V666" s="920"/>
      <c r="W666" s="920"/>
      <c r="X666" s="900"/>
      <c r="Y666" s="900"/>
      <c r="Z666" s="900"/>
    </row>
    <row r="667" spans="1:26">
      <c r="A667" s="900"/>
      <c r="B667" s="920"/>
      <c r="C667" s="920"/>
      <c r="D667" s="920"/>
      <c r="E667" s="920"/>
      <c r="F667" s="920"/>
      <c r="G667" s="920"/>
      <c r="V667" s="920"/>
      <c r="W667" s="920"/>
      <c r="X667" s="900"/>
      <c r="Y667" s="900"/>
      <c r="Z667" s="900"/>
    </row>
    <row r="668" spans="1:26">
      <c r="A668" s="900"/>
      <c r="B668" s="920"/>
      <c r="C668" s="920"/>
      <c r="D668" s="920"/>
      <c r="E668" s="920"/>
      <c r="F668" s="920"/>
      <c r="G668" s="920"/>
      <c r="V668" s="920"/>
      <c r="W668" s="920"/>
      <c r="X668" s="900"/>
      <c r="Y668" s="900"/>
      <c r="Z668" s="900"/>
    </row>
    <row r="669" spans="1:26">
      <c r="A669" s="900"/>
      <c r="B669" s="920"/>
      <c r="C669" s="920"/>
      <c r="D669" s="920"/>
      <c r="E669" s="920"/>
      <c r="F669" s="920"/>
      <c r="G669" s="920"/>
      <c r="V669" s="920"/>
      <c r="W669" s="920"/>
      <c r="X669" s="900"/>
      <c r="Y669" s="900"/>
      <c r="Z669" s="900"/>
    </row>
    <row r="670" spans="1:26">
      <c r="A670" s="900"/>
      <c r="B670" s="920"/>
      <c r="C670" s="920"/>
      <c r="D670" s="920"/>
      <c r="E670" s="920"/>
      <c r="F670" s="920"/>
      <c r="G670" s="920"/>
      <c r="V670" s="920"/>
      <c r="W670" s="920"/>
      <c r="X670" s="900"/>
      <c r="Y670" s="900"/>
      <c r="Z670" s="900"/>
    </row>
    <row r="671" spans="1:26">
      <c r="A671" s="900"/>
      <c r="B671" s="920"/>
      <c r="C671" s="920"/>
      <c r="D671" s="920"/>
      <c r="E671" s="920"/>
      <c r="F671" s="920"/>
      <c r="G671" s="920"/>
      <c r="V671" s="920"/>
      <c r="W671" s="920"/>
      <c r="X671" s="900"/>
      <c r="Y671" s="900"/>
      <c r="Z671" s="900"/>
    </row>
    <row r="672" spans="1:26">
      <c r="A672" s="900"/>
      <c r="B672" s="920"/>
      <c r="C672" s="920"/>
      <c r="D672" s="920"/>
      <c r="E672" s="920"/>
      <c r="F672" s="920"/>
      <c r="G672" s="920"/>
      <c r="V672" s="920"/>
      <c r="W672" s="920"/>
      <c r="X672" s="900"/>
      <c r="Y672" s="900"/>
      <c r="Z672" s="900"/>
    </row>
    <row r="673" spans="1:26">
      <c r="A673" s="900"/>
      <c r="B673" s="920"/>
      <c r="C673" s="920"/>
      <c r="D673" s="920"/>
      <c r="E673" s="920"/>
      <c r="F673" s="920"/>
      <c r="G673" s="920"/>
      <c r="V673" s="920"/>
      <c r="W673" s="920"/>
      <c r="X673" s="900"/>
      <c r="Y673" s="900"/>
      <c r="Z673" s="900"/>
    </row>
    <row r="674" spans="1:26">
      <c r="A674" s="900"/>
      <c r="B674" s="920"/>
      <c r="C674" s="920"/>
      <c r="D674" s="920"/>
      <c r="E674" s="920"/>
      <c r="F674" s="920"/>
      <c r="G674" s="920"/>
      <c r="V674" s="920"/>
      <c r="W674" s="920"/>
      <c r="X674" s="900"/>
      <c r="Y674" s="900"/>
      <c r="Z674" s="900"/>
    </row>
    <row r="675" spans="1:26">
      <c r="A675" s="900"/>
      <c r="B675" s="920"/>
      <c r="C675" s="920"/>
      <c r="D675" s="920"/>
      <c r="E675" s="920"/>
      <c r="F675" s="920"/>
      <c r="G675" s="920"/>
      <c r="V675" s="920"/>
      <c r="W675" s="920"/>
      <c r="X675" s="900"/>
      <c r="Y675" s="900"/>
      <c r="Z675" s="900"/>
    </row>
    <row r="676" spans="1:26">
      <c r="A676" s="900"/>
      <c r="B676" s="920"/>
      <c r="C676" s="920"/>
      <c r="D676" s="920"/>
      <c r="E676" s="920"/>
      <c r="F676" s="920"/>
      <c r="G676" s="920"/>
      <c r="V676" s="920"/>
      <c r="W676" s="920"/>
      <c r="X676" s="900"/>
      <c r="Y676" s="900"/>
      <c r="Z676" s="900"/>
    </row>
    <row r="677" spans="1:26">
      <c r="A677" s="900"/>
      <c r="B677" s="920"/>
      <c r="C677" s="920"/>
      <c r="D677" s="920"/>
      <c r="E677" s="920"/>
      <c r="F677" s="920"/>
      <c r="G677" s="920"/>
      <c r="V677" s="920"/>
      <c r="W677" s="920"/>
      <c r="X677" s="900"/>
      <c r="Y677" s="900"/>
      <c r="Z677" s="900"/>
    </row>
    <row r="678" spans="1:26">
      <c r="A678" s="900"/>
      <c r="B678" s="920"/>
      <c r="C678" s="920"/>
      <c r="D678" s="920"/>
      <c r="E678" s="920"/>
      <c r="F678" s="920"/>
      <c r="G678" s="920"/>
      <c r="V678" s="920"/>
      <c r="W678" s="920"/>
      <c r="X678" s="900"/>
      <c r="Y678" s="900"/>
      <c r="Z678" s="900"/>
    </row>
    <row r="679" spans="1:26">
      <c r="A679" s="900"/>
      <c r="B679" s="920"/>
      <c r="C679" s="920"/>
      <c r="D679" s="920"/>
      <c r="E679" s="920"/>
      <c r="F679" s="920"/>
      <c r="G679" s="920"/>
      <c r="V679" s="920"/>
      <c r="W679" s="920"/>
      <c r="X679" s="900"/>
      <c r="Y679" s="900"/>
      <c r="Z679" s="900"/>
    </row>
    <row r="680" spans="1:26">
      <c r="A680" s="900"/>
      <c r="B680" s="920"/>
      <c r="C680" s="920"/>
      <c r="D680" s="920"/>
      <c r="E680" s="920"/>
      <c r="F680" s="920"/>
      <c r="G680" s="920"/>
      <c r="V680" s="920"/>
      <c r="W680" s="920"/>
      <c r="X680" s="900"/>
      <c r="Y680" s="900"/>
      <c r="Z680" s="900"/>
    </row>
    <row r="681" spans="1:26">
      <c r="A681" s="900"/>
      <c r="B681" s="920"/>
      <c r="C681" s="920"/>
      <c r="D681" s="920"/>
      <c r="E681" s="920"/>
      <c r="F681" s="920"/>
      <c r="G681" s="920"/>
      <c r="V681" s="920"/>
      <c r="W681" s="920"/>
      <c r="X681" s="900"/>
      <c r="Y681" s="900"/>
      <c r="Z681" s="900"/>
    </row>
    <row r="682" spans="1:26">
      <c r="A682" s="900"/>
      <c r="B682" s="920"/>
      <c r="C682" s="920"/>
      <c r="D682" s="920"/>
      <c r="E682" s="920"/>
      <c r="F682" s="920"/>
      <c r="G682" s="920"/>
      <c r="V682" s="920"/>
      <c r="W682" s="920"/>
      <c r="X682" s="900"/>
      <c r="Y682" s="900"/>
      <c r="Z682" s="900"/>
    </row>
    <row r="683" spans="1:26">
      <c r="A683" s="900"/>
      <c r="B683" s="920"/>
      <c r="C683" s="920"/>
      <c r="D683" s="920"/>
      <c r="E683" s="920"/>
      <c r="F683" s="920"/>
      <c r="G683" s="920"/>
      <c r="V683" s="920"/>
      <c r="W683" s="920"/>
      <c r="X683" s="900"/>
      <c r="Y683" s="900"/>
      <c r="Z683" s="900"/>
    </row>
    <row r="684" spans="1:26">
      <c r="A684" s="900"/>
      <c r="B684" s="920"/>
      <c r="C684" s="920"/>
      <c r="D684" s="920"/>
      <c r="E684" s="920"/>
      <c r="F684" s="920"/>
      <c r="G684" s="920"/>
      <c r="V684" s="920"/>
      <c r="W684" s="920"/>
      <c r="X684" s="900"/>
      <c r="Y684" s="900"/>
      <c r="Z684" s="900"/>
    </row>
    <row r="685" spans="1:26">
      <c r="A685" s="900"/>
      <c r="B685" s="920"/>
      <c r="C685" s="920"/>
      <c r="D685" s="920"/>
      <c r="E685" s="920"/>
      <c r="F685" s="920"/>
      <c r="G685" s="920"/>
      <c r="V685" s="920"/>
      <c r="W685" s="920"/>
      <c r="X685" s="900"/>
      <c r="Y685" s="900"/>
      <c r="Z685" s="900"/>
    </row>
    <row r="686" spans="1:26">
      <c r="A686" s="900"/>
      <c r="B686" s="920"/>
      <c r="C686" s="920"/>
      <c r="D686" s="920"/>
      <c r="E686" s="920"/>
      <c r="F686" s="920"/>
      <c r="G686" s="920"/>
      <c r="V686" s="920"/>
      <c r="W686" s="920"/>
      <c r="X686" s="900"/>
      <c r="Y686" s="900"/>
      <c r="Z686" s="900"/>
    </row>
    <row r="687" spans="1:26">
      <c r="A687" s="900"/>
      <c r="B687" s="920"/>
      <c r="C687" s="920"/>
      <c r="D687" s="920"/>
      <c r="E687" s="920"/>
      <c r="F687" s="920"/>
      <c r="G687" s="920"/>
      <c r="V687" s="920"/>
      <c r="W687" s="920"/>
      <c r="X687" s="900"/>
      <c r="Y687" s="900"/>
      <c r="Z687" s="900"/>
    </row>
    <row r="688" spans="1:26">
      <c r="A688" s="900"/>
      <c r="B688" s="920"/>
      <c r="C688" s="920"/>
      <c r="D688" s="920"/>
      <c r="E688" s="920"/>
      <c r="F688" s="920"/>
      <c r="G688" s="920"/>
      <c r="V688" s="920"/>
      <c r="W688" s="920"/>
      <c r="X688" s="900"/>
      <c r="Y688" s="900"/>
      <c r="Z688" s="900"/>
    </row>
    <row r="689" spans="1:26">
      <c r="A689" s="900"/>
      <c r="B689" s="920"/>
      <c r="C689" s="920"/>
      <c r="D689" s="920"/>
      <c r="E689" s="920"/>
      <c r="F689" s="920"/>
      <c r="G689" s="920"/>
      <c r="V689" s="920"/>
      <c r="W689" s="920"/>
      <c r="X689" s="900"/>
      <c r="Y689" s="900"/>
      <c r="Z689" s="900"/>
    </row>
    <row r="690" spans="1:26">
      <c r="A690" s="900"/>
      <c r="B690" s="920"/>
      <c r="C690" s="920"/>
      <c r="D690" s="920"/>
      <c r="E690" s="920"/>
      <c r="F690" s="920"/>
      <c r="G690" s="920"/>
      <c r="V690" s="920"/>
      <c r="W690" s="920"/>
      <c r="X690" s="900"/>
      <c r="Y690" s="900"/>
      <c r="Z690" s="900"/>
    </row>
    <row r="691" spans="1:26">
      <c r="A691" s="900"/>
      <c r="B691" s="920"/>
      <c r="C691" s="920"/>
      <c r="D691" s="920"/>
      <c r="E691" s="920"/>
      <c r="F691" s="920"/>
      <c r="G691" s="920"/>
      <c r="V691" s="920"/>
      <c r="W691" s="920"/>
      <c r="X691" s="900"/>
      <c r="Y691" s="900"/>
      <c r="Z691" s="900"/>
    </row>
    <row r="692" spans="1:26">
      <c r="A692" s="900"/>
      <c r="B692" s="920"/>
      <c r="C692" s="920"/>
      <c r="D692" s="920"/>
      <c r="E692" s="920"/>
      <c r="F692" s="920"/>
      <c r="G692" s="920"/>
      <c r="V692" s="920"/>
      <c r="W692" s="920"/>
      <c r="X692" s="900"/>
      <c r="Y692" s="900"/>
      <c r="Z692" s="900"/>
    </row>
    <row r="693" spans="1:26">
      <c r="A693" s="900"/>
      <c r="B693" s="920"/>
      <c r="C693" s="920"/>
      <c r="D693" s="920"/>
      <c r="E693" s="920"/>
      <c r="F693" s="920"/>
      <c r="G693" s="920"/>
      <c r="V693" s="920"/>
      <c r="W693" s="920"/>
      <c r="X693" s="900"/>
      <c r="Y693" s="900"/>
      <c r="Z693" s="900"/>
    </row>
    <row r="694" spans="1:26">
      <c r="A694" s="900"/>
      <c r="B694" s="920"/>
      <c r="C694" s="920"/>
      <c r="D694" s="920"/>
      <c r="E694" s="920"/>
      <c r="F694" s="920"/>
      <c r="G694" s="920"/>
      <c r="V694" s="920"/>
      <c r="W694" s="920"/>
      <c r="X694" s="900"/>
      <c r="Y694" s="900"/>
      <c r="Z694" s="900"/>
    </row>
    <row r="695" spans="1:26">
      <c r="A695" s="900"/>
      <c r="B695" s="920"/>
      <c r="C695" s="920"/>
      <c r="D695" s="920"/>
      <c r="E695" s="920"/>
      <c r="F695" s="920"/>
      <c r="G695" s="920"/>
      <c r="V695" s="920"/>
      <c r="W695" s="920"/>
      <c r="X695" s="900"/>
      <c r="Y695" s="900"/>
      <c r="Z695" s="900"/>
    </row>
    <row r="696" spans="1:26">
      <c r="A696" s="900"/>
      <c r="B696" s="920"/>
      <c r="C696" s="920"/>
      <c r="D696" s="920"/>
      <c r="E696" s="920"/>
      <c r="F696" s="920"/>
      <c r="G696" s="920"/>
      <c r="V696" s="920"/>
      <c r="W696" s="920"/>
      <c r="X696" s="900"/>
      <c r="Y696" s="900"/>
      <c r="Z696" s="900"/>
    </row>
    <row r="697" spans="1:26">
      <c r="A697" s="900"/>
      <c r="B697" s="920"/>
      <c r="C697" s="920"/>
      <c r="D697" s="920"/>
      <c r="E697" s="920"/>
      <c r="F697" s="920"/>
      <c r="G697" s="920"/>
      <c r="V697" s="920"/>
      <c r="W697" s="920"/>
      <c r="X697" s="900"/>
      <c r="Y697" s="900"/>
      <c r="Z697" s="900"/>
    </row>
    <row r="698" spans="1:26">
      <c r="A698" s="900"/>
      <c r="B698" s="920"/>
      <c r="C698" s="920"/>
      <c r="D698" s="920"/>
      <c r="E698" s="920"/>
      <c r="F698" s="920"/>
      <c r="G698" s="920"/>
      <c r="V698" s="920"/>
      <c r="W698" s="920"/>
      <c r="X698" s="900"/>
      <c r="Y698" s="900"/>
      <c r="Z698" s="900"/>
    </row>
    <row r="699" spans="1:26">
      <c r="A699" s="900"/>
      <c r="B699" s="920"/>
      <c r="C699" s="920"/>
      <c r="D699" s="920"/>
      <c r="E699" s="920"/>
      <c r="F699" s="920"/>
      <c r="G699" s="920"/>
      <c r="V699" s="920"/>
      <c r="W699" s="920"/>
      <c r="X699" s="900"/>
      <c r="Y699" s="900"/>
      <c r="Z699" s="900"/>
    </row>
    <row r="700" spans="1:26">
      <c r="A700" s="900"/>
      <c r="B700" s="920"/>
      <c r="C700" s="920"/>
      <c r="D700" s="920"/>
      <c r="E700" s="920"/>
      <c r="F700" s="920"/>
      <c r="G700" s="920"/>
      <c r="V700" s="920"/>
      <c r="W700" s="920"/>
      <c r="X700" s="900"/>
      <c r="Y700" s="900"/>
      <c r="Z700" s="900"/>
    </row>
    <row r="701" spans="1:26">
      <c r="A701" s="900"/>
      <c r="B701" s="920"/>
      <c r="C701" s="920"/>
      <c r="D701" s="920"/>
      <c r="E701" s="920"/>
      <c r="F701" s="920"/>
      <c r="G701" s="920"/>
      <c r="V701" s="920"/>
      <c r="W701" s="920"/>
      <c r="X701" s="900"/>
      <c r="Y701" s="900"/>
      <c r="Z701" s="900"/>
    </row>
    <row r="702" spans="1:26">
      <c r="A702" s="900"/>
      <c r="B702" s="920"/>
      <c r="C702" s="920"/>
      <c r="D702" s="920"/>
      <c r="E702" s="920"/>
      <c r="F702" s="920"/>
      <c r="G702" s="920"/>
      <c r="V702" s="920"/>
      <c r="W702" s="920"/>
      <c r="X702" s="900"/>
      <c r="Y702" s="900"/>
      <c r="Z702" s="900"/>
    </row>
    <row r="703" spans="1:26">
      <c r="A703" s="900"/>
      <c r="B703" s="920"/>
      <c r="C703" s="920"/>
      <c r="D703" s="920"/>
      <c r="E703" s="920"/>
      <c r="F703" s="920"/>
      <c r="G703" s="920"/>
      <c r="V703" s="920"/>
      <c r="W703" s="920"/>
      <c r="X703" s="900"/>
      <c r="Y703" s="900"/>
      <c r="Z703" s="900"/>
    </row>
    <row r="704" spans="1:26">
      <c r="A704" s="900"/>
      <c r="B704" s="920"/>
      <c r="C704" s="920"/>
      <c r="D704" s="920"/>
      <c r="E704" s="920"/>
      <c r="F704" s="920"/>
      <c r="G704" s="920"/>
      <c r="V704" s="920"/>
      <c r="W704" s="920"/>
      <c r="X704" s="900"/>
      <c r="Y704" s="900"/>
      <c r="Z704" s="900"/>
    </row>
    <row r="705" spans="1:26">
      <c r="A705" s="900"/>
      <c r="B705" s="920"/>
      <c r="C705" s="920"/>
      <c r="D705" s="920"/>
      <c r="E705" s="920"/>
      <c r="F705" s="920"/>
      <c r="G705" s="920"/>
      <c r="V705" s="920"/>
      <c r="W705" s="920"/>
      <c r="X705" s="900"/>
      <c r="Y705" s="900"/>
      <c r="Z705" s="900"/>
    </row>
    <row r="706" spans="1:26">
      <c r="A706" s="900"/>
      <c r="B706" s="920"/>
      <c r="C706" s="920"/>
      <c r="D706" s="920"/>
      <c r="E706" s="920"/>
      <c r="F706" s="920"/>
      <c r="G706" s="920"/>
      <c r="V706" s="920"/>
      <c r="W706" s="920"/>
      <c r="X706" s="900"/>
      <c r="Y706" s="900"/>
      <c r="Z706" s="900"/>
    </row>
    <row r="707" spans="1:26">
      <c r="A707" s="900"/>
      <c r="B707" s="920"/>
      <c r="C707" s="920"/>
      <c r="D707" s="920"/>
      <c r="E707" s="920"/>
      <c r="F707" s="920"/>
      <c r="G707" s="920"/>
      <c r="V707" s="920"/>
      <c r="W707" s="920"/>
      <c r="X707" s="900"/>
      <c r="Y707" s="900"/>
      <c r="Z707" s="900"/>
    </row>
    <row r="708" spans="1:26">
      <c r="A708" s="900"/>
      <c r="B708" s="920"/>
      <c r="C708" s="920"/>
      <c r="D708" s="920"/>
      <c r="E708" s="920"/>
      <c r="F708" s="920"/>
      <c r="G708" s="920"/>
      <c r="V708" s="920"/>
      <c r="W708" s="920"/>
      <c r="X708" s="900"/>
      <c r="Y708" s="900"/>
      <c r="Z708" s="900"/>
    </row>
    <row r="709" spans="1:26">
      <c r="A709" s="900"/>
      <c r="B709" s="920"/>
      <c r="C709" s="920"/>
      <c r="D709" s="920"/>
      <c r="E709" s="920"/>
      <c r="F709" s="920"/>
      <c r="G709" s="920"/>
      <c r="V709" s="920"/>
      <c r="W709" s="920"/>
      <c r="X709" s="900"/>
      <c r="Y709" s="900"/>
      <c r="Z709" s="900"/>
    </row>
    <row r="710" spans="1:26">
      <c r="A710" s="900"/>
      <c r="B710" s="920"/>
      <c r="C710" s="920"/>
      <c r="D710" s="920"/>
      <c r="E710" s="920"/>
      <c r="F710" s="920"/>
      <c r="G710" s="920"/>
      <c r="V710" s="920"/>
      <c r="W710" s="920"/>
      <c r="X710" s="900"/>
      <c r="Y710" s="900"/>
      <c r="Z710" s="900"/>
    </row>
    <row r="711" spans="1:26">
      <c r="A711" s="900"/>
      <c r="B711" s="920"/>
      <c r="C711" s="920"/>
      <c r="D711" s="920"/>
      <c r="E711" s="920"/>
      <c r="F711" s="920"/>
      <c r="G711" s="920"/>
      <c r="V711" s="920"/>
      <c r="W711" s="920"/>
      <c r="X711" s="900"/>
      <c r="Y711" s="900"/>
      <c r="Z711" s="900"/>
    </row>
    <row r="712" spans="1:26">
      <c r="A712" s="900"/>
      <c r="B712" s="920"/>
      <c r="C712" s="920"/>
      <c r="D712" s="920"/>
      <c r="E712" s="920"/>
      <c r="F712" s="920"/>
      <c r="G712" s="920"/>
      <c r="V712" s="920"/>
      <c r="W712" s="920"/>
      <c r="X712" s="900"/>
      <c r="Y712" s="900"/>
      <c r="Z712" s="900"/>
    </row>
    <row r="713" spans="1:26">
      <c r="A713" s="900"/>
      <c r="B713" s="920"/>
      <c r="C713" s="920"/>
      <c r="D713" s="920"/>
      <c r="E713" s="920"/>
      <c r="F713" s="920"/>
      <c r="G713" s="920"/>
      <c r="V713" s="920"/>
      <c r="W713" s="920"/>
      <c r="X713" s="900"/>
      <c r="Y713" s="900"/>
      <c r="Z713" s="900"/>
    </row>
    <row r="714" spans="1:26">
      <c r="A714" s="900"/>
      <c r="B714" s="920"/>
      <c r="C714" s="920"/>
      <c r="D714" s="920"/>
      <c r="E714" s="920"/>
      <c r="F714" s="920"/>
      <c r="G714" s="920"/>
      <c r="V714" s="920"/>
      <c r="W714" s="920"/>
      <c r="X714" s="900"/>
      <c r="Y714" s="900"/>
      <c r="Z714" s="900"/>
    </row>
    <row r="715" spans="1:26">
      <c r="A715" s="900"/>
      <c r="B715" s="920"/>
      <c r="C715" s="920"/>
      <c r="D715" s="920"/>
      <c r="E715" s="920"/>
      <c r="F715" s="920"/>
      <c r="G715" s="920"/>
      <c r="V715" s="920"/>
      <c r="W715" s="920"/>
      <c r="X715" s="900"/>
      <c r="Y715" s="900"/>
      <c r="Z715" s="900"/>
    </row>
    <row r="716" spans="1:26">
      <c r="A716" s="900"/>
      <c r="B716" s="920"/>
      <c r="C716" s="920"/>
      <c r="D716" s="920"/>
      <c r="E716" s="920"/>
      <c r="F716" s="920"/>
      <c r="G716" s="920"/>
      <c r="V716" s="920"/>
      <c r="W716" s="920"/>
      <c r="X716" s="900"/>
      <c r="Y716" s="900"/>
      <c r="Z716" s="900"/>
    </row>
    <row r="717" spans="1:26">
      <c r="A717" s="900"/>
      <c r="B717" s="920"/>
      <c r="C717" s="920"/>
      <c r="D717" s="920"/>
      <c r="E717" s="920"/>
      <c r="F717" s="920"/>
      <c r="G717" s="920"/>
      <c r="V717" s="920"/>
      <c r="W717" s="920"/>
      <c r="X717" s="900"/>
      <c r="Y717" s="900"/>
      <c r="Z717" s="900"/>
    </row>
    <row r="718" spans="1:26">
      <c r="A718" s="900"/>
      <c r="B718" s="920"/>
      <c r="C718" s="920"/>
      <c r="D718" s="920"/>
      <c r="E718" s="920"/>
      <c r="F718" s="920"/>
      <c r="G718" s="920"/>
      <c r="V718" s="920"/>
      <c r="W718" s="920"/>
      <c r="X718" s="900"/>
      <c r="Y718" s="900"/>
      <c r="Z718" s="900"/>
    </row>
    <row r="719" spans="1:26">
      <c r="A719" s="900"/>
      <c r="B719" s="920"/>
      <c r="C719" s="920"/>
      <c r="D719" s="920"/>
      <c r="E719" s="920"/>
      <c r="F719" s="920"/>
      <c r="G719" s="920"/>
      <c r="V719" s="920"/>
      <c r="W719" s="920"/>
      <c r="X719" s="900"/>
      <c r="Y719" s="900"/>
      <c r="Z719" s="900"/>
    </row>
    <row r="720" spans="1:26">
      <c r="A720" s="900"/>
      <c r="B720" s="920"/>
      <c r="C720" s="920"/>
      <c r="D720" s="920"/>
      <c r="E720" s="920"/>
      <c r="F720" s="920"/>
      <c r="G720" s="920"/>
      <c r="V720" s="920"/>
      <c r="W720" s="920"/>
      <c r="X720" s="900"/>
      <c r="Y720" s="900"/>
      <c r="Z720" s="900"/>
    </row>
    <row r="721" spans="1:26">
      <c r="A721" s="900"/>
      <c r="B721" s="920"/>
      <c r="C721" s="920"/>
      <c r="D721" s="920"/>
      <c r="E721" s="920"/>
      <c r="F721" s="920"/>
      <c r="G721" s="920"/>
      <c r="V721" s="920"/>
      <c r="W721" s="920"/>
      <c r="X721" s="900"/>
      <c r="Y721" s="900"/>
      <c r="Z721" s="900"/>
    </row>
    <row r="722" spans="1:26">
      <c r="A722" s="900"/>
      <c r="B722" s="920"/>
      <c r="C722" s="920"/>
      <c r="D722" s="920"/>
      <c r="E722" s="920"/>
      <c r="F722" s="920"/>
      <c r="G722" s="920"/>
      <c r="V722" s="920"/>
      <c r="W722" s="920"/>
      <c r="X722" s="900"/>
      <c r="Y722" s="900"/>
      <c r="Z722" s="900"/>
    </row>
    <row r="723" spans="1:26">
      <c r="A723" s="900"/>
      <c r="B723" s="920"/>
      <c r="C723" s="920"/>
      <c r="D723" s="920"/>
      <c r="E723" s="920"/>
      <c r="F723" s="920"/>
      <c r="G723" s="920"/>
      <c r="V723" s="920"/>
      <c r="W723" s="920"/>
      <c r="X723" s="900"/>
      <c r="Y723" s="900"/>
      <c r="Z723" s="900"/>
    </row>
    <row r="724" spans="1:26">
      <c r="A724" s="900"/>
      <c r="B724" s="920"/>
      <c r="C724" s="920"/>
      <c r="D724" s="920"/>
      <c r="E724" s="920"/>
      <c r="F724" s="920"/>
      <c r="G724" s="920"/>
      <c r="V724" s="920"/>
      <c r="W724" s="920"/>
      <c r="X724" s="900"/>
      <c r="Y724" s="900"/>
      <c r="Z724" s="900"/>
    </row>
    <row r="725" spans="1:26">
      <c r="A725" s="900"/>
      <c r="B725" s="920"/>
      <c r="C725" s="920"/>
      <c r="D725" s="920"/>
      <c r="E725" s="920"/>
      <c r="F725" s="920"/>
      <c r="G725" s="920"/>
      <c r="V725" s="920"/>
      <c r="W725" s="920"/>
      <c r="X725" s="900"/>
      <c r="Y725" s="900"/>
      <c r="Z725" s="900"/>
    </row>
    <row r="726" spans="1:26">
      <c r="A726" s="900"/>
      <c r="B726" s="920"/>
      <c r="C726" s="920"/>
      <c r="D726" s="920"/>
      <c r="E726" s="920"/>
      <c r="F726" s="920"/>
      <c r="G726" s="920"/>
      <c r="V726" s="920"/>
      <c r="W726" s="920"/>
      <c r="X726" s="900"/>
      <c r="Y726" s="900"/>
      <c r="Z726" s="900"/>
    </row>
    <row r="727" spans="1:26">
      <c r="A727" s="900"/>
      <c r="B727" s="920"/>
      <c r="C727" s="920"/>
      <c r="D727" s="920"/>
      <c r="E727" s="920"/>
      <c r="F727" s="920"/>
      <c r="G727" s="920"/>
      <c r="V727" s="920"/>
      <c r="W727" s="920"/>
      <c r="X727" s="900"/>
      <c r="Y727" s="900"/>
      <c r="Z727" s="900"/>
    </row>
    <row r="728" spans="1:26">
      <c r="A728" s="900"/>
      <c r="B728" s="920"/>
      <c r="C728" s="920"/>
      <c r="D728" s="920"/>
      <c r="E728" s="920"/>
      <c r="F728" s="920"/>
      <c r="G728" s="920"/>
      <c r="V728" s="920"/>
      <c r="W728" s="920"/>
      <c r="X728" s="900"/>
      <c r="Y728" s="900"/>
      <c r="Z728" s="900"/>
    </row>
    <row r="729" spans="1:26">
      <c r="A729" s="900"/>
      <c r="B729" s="920"/>
      <c r="C729" s="920"/>
      <c r="D729" s="920"/>
      <c r="E729" s="920"/>
      <c r="F729" s="920"/>
      <c r="G729" s="920"/>
      <c r="V729" s="920"/>
      <c r="W729" s="920"/>
      <c r="X729" s="900"/>
      <c r="Y729" s="900"/>
      <c r="Z729" s="900"/>
    </row>
    <row r="730" spans="1:26">
      <c r="A730" s="900"/>
      <c r="B730" s="920"/>
      <c r="C730" s="920"/>
      <c r="D730" s="920"/>
      <c r="E730" s="920"/>
      <c r="F730" s="920"/>
      <c r="G730" s="920"/>
      <c r="V730" s="920"/>
      <c r="W730" s="920"/>
      <c r="X730" s="900"/>
      <c r="Y730" s="900"/>
      <c r="Z730" s="900"/>
    </row>
    <row r="731" spans="1:26">
      <c r="A731" s="900"/>
      <c r="B731" s="920"/>
      <c r="C731" s="920"/>
      <c r="D731" s="920"/>
      <c r="E731" s="920"/>
      <c r="F731" s="920"/>
      <c r="G731" s="920"/>
      <c r="V731" s="920"/>
      <c r="W731" s="920"/>
      <c r="X731" s="900"/>
      <c r="Y731" s="900"/>
      <c r="Z731" s="900"/>
    </row>
    <row r="732" spans="1:26">
      <c r="A732" s="900"/>
      <c r="B732" s="920"/>
      <c r="C732" s="920"/>
      <c r="D732" s="920"/>
      <c r="E732" s="920"/>
      <c r="F732" s="920"/>
      <c r="G732" s="920"/>
      <c r="V732" s="920"/>
      <c r="W732" s="920"/>
      <c r="X732" s="900"/>
      <c r="Y732" s="900"/>
      <c r="Z732" s="900"/>
    </row>
    <row r="733" spans="1:26">
      <c r="A733" s="900"/>
      <c r="B733" s="920"/>
      <c r="C733" s="920"/>
      <c r="D733" s="920"/>
      <c r="E733" s="920"/>
      <c r="F733" s="920"/>
      <c r="G733" s="920"/>
      <c r="V733" s="920"/>
      <c r="W733" s="920"/>
      <c r="X733" s="900"/>
      <c r="Y733" s="900"/>
      <c r="Z733" s="900"/>
    </row>
    <row r="734" spans="1:26">
      <c r="A734" s="900"/>
      <c r="B734" s="920"/>
      <c r="C734" s="920"/>
      <c r="D734" s="920"/>
      <c r="E734" s="920"/>
      <c r="F734" s="920"/>
      <c r="G734" s="920"/>
      <c r="V734" s="920"/>
      <c r="W734" s="920"/>
      <c r="X734" s="900"/>
      <c r="Y734" s="900"/>
      <c r="Z734" s="900"/>
    </row>
    <row r="735" spans="1:26">
      <c r="A735" s="900"/>
      <c r="B735" s="920"/>
      <c r="C735" s="920"/>
      <c r="D735" s="920"/>
      <c r="E735" s="920"/>
      <c r="F735" s="920"/>
      <c r="G735" s="920"/>
      <c r="V735" s="920"/>
      <c r="W735" s="920"/>
      <c r="X735" s="900"/>
      <c r="Y735" s="900"/>
      <c r="Z735" s="900"/>
    </row>
    <row r="736" spans="1:26">
      <c r="A736" s="900"/>
      <c r="B736" s="920"/>
      <c r="C736" s="920"/>
      <c r="D736" s="920"/>
      <c r="E736" s="920"/>
      <c r="F736" s="920"/>
      <c r="G736" s="920"/>
      <c r="V736" s="920"/>
      <c r="W736" s="920"/>
      <c r="X736" s="900"/>
      <c r="Y736" s="900"/>
      <c r="Z736" s="900"/>
    </row>
    <row r="737" spans="1:26">
      <c r="A737" s="900"/>
      <c r="B737" s="920"/>
      <c r="C737" s="920"/>
      <c r="D737" s="920"/>
      <c r="E737" s="920"/>
      <c r="F737" s="920"/>
      <c r="G737" s="920"/>
      <c r="V737" s="920"/>
      <c r="W737" s="920"/>
      <c r="X737" s="900"/>
      <c r="Y737" s="900"/>
      <c r="Z737" s="900"/>
    </row>
    <row r="738" spans="1:26">
      <c r="A738" s="900"/>
      <c r="B738" s="920"/>
      <c r="C738" s="920"/>
      <c r="D738" s="920"/>
      <c r="E738" s="920"/>
      <c r="F738" s="920"/>
      <c r="G738" s="920"/>
      <c r="V738" s="920"/>
      <c r="W738" s="920"/>
      <c r="X738" s="900"/>
      <c r="Y738" s="900"/>
      <c r="Z738" s="900"/>
    </row>
    <row r="739" spans="1:26">
      <c r="A739" s="900"/>
      <c r="B739" s="920"/>
      <c r="C739" s="920"/>
      <c r="D739" s="920"/>
      <c r="E739" s="920"/>
      <c r="F739" s="920"/>
      <c r="G739" s="920"/>
      <c r="V739" s="920"/>
      <c r="W739" s="920"/>
      <c r="X739" s="900"/>
      <c r="Y739" s="900"/>
      <c r="Z739" s="900"/>
    </row>
    <row r="740" spans="1:26">
      <c r="A740" s="900"/>
      <c r="B740" s="920"/>
      <c r="C740" s="920"/>
      <c r="D740" s="920"/>
      <c r="E740" s="920"/>
      <c r="F740" s="920"/>
      <c r="G740" s="920"/>
      <c r="V740" s="920"/>
      <c r="W740" s="920"/>
      <c r="X740" s="900"/>
      <c r="Y740" s="900"/>
      <c r="Z740" s="900"/>
    </row>
    <row r="741" spans="1:26">
      <c r="A741" s="900"/>
      <c r="B741" s="920"/>
      <c r="C741" s="920"/>
      <c r="D741" s="920"/>
      <c r="E741" s="920"/>
      <c r="F741" s="920"/>
      <c r="G741" s="920"/>
      <c r="V741" s="920"/>
      <c r="W741" s="920"/>
      <c r="X741" s="900"/>
      <c r="Y741" s="900"/>
      <c r="Z741" s="900"/>
    </row>
    <row r="742" spans="1:26">
      <c r="A742" s="900"/>
      <c r="B742" s="920"/>
      <c r="C742" s="920"/>
      <c r="D742" s="920"/>
      <c r="E742" s="920"/>
      <c r="F742" s="920"/>
      <c r="G742" s="920"/>
      <c r="V742" s="920"/>
      <c r="W742" s="920"/>
      <c r="X742" s="900"/>
      <c r="Y742" s="900"/>
      <c r="Z742" s="900"/>
    </row>
    <row r="743" spans="1:26">
      <c r="A743" s="900"/>
      <c r="B743" s="920"/>
      <c r="C743" s="920"/>
      <c r="D743" s="920"/>
      <c r="E743" s="920"/>
      <c r="F743" s="920"/>
      <c r="G743" s="920"/>
      <c r="V743" s="920"/>
      <c r="W743" s="920"/>
      <c r="X743" s="900"/>
      <c r="Y743" s="900"/>
      <c r="Z743" s="900"/>
    </row>
    <row r="744" spans="1:26">
      <c r="A744" s="900"/>
      <c r="B744" s="920"/>
      <c r="C744" s="920"/>
      <c r="D744" s="920"/>
      <c r="E744" s="920"/>
      <c r="F744" s="920"/>
      <c r="G744" s="920"/>
      <c r="V744" s="920"/>
      <c r="W744" s="920"/>
      <c r="X744" s="900"/>
      <c r="Y744" s="900"/>
      <c r="Z744" s="900"/>
    </row>
    <row r="745" spans="1:26">
      <c r="A745" s="900"/>
      <c r="B745" s="920"/>
      <c r="C745" s="920"/>
      <c r="D745" s="920"/>
      <c r="E745" s="920"/>
      <c r="F745" s="920"/>
      <c r="G745" s="920"/>
      <c r="V745" s="920"/>
      <c r="W745" s="920"/>
      <c r="X745" s="900"/>
      <c r="Y745" s="900"/>
      <c r="Z745" s="900"/>
    </row>
    <row r="746" spans="1:26">
      <c r="A746" s="900"/>
      <c r="B746" s="920"/>
      <c r="C746" s="920"/>
      <c r="D746" s="920"/>
      <c r="E746" s="920"/>
      <c r="F746" s="920"/>
      <c r="G746" s="920"/>
      <c r="V746" s="920"/>
      <c r="W746" s="920"/>
      <c r="X746" s="900"/>
      <c r="Y746" s="900"/>
      <c r="Z746" s="900"/>
    </row>
    <row r="747" spans="1:26">
      <c r="A747" s="900"/>
      <c r="B747" s="920"/>
      <c r="C747" s="920"/>
      <c r="D747" s="920"/>
      <c r="E747" s="920"/>
      <c r="F747" s="920"/>
      <c r="G747" s="920"/>
      <c r="V747" s="920"/>
      <c r="W747" s="920"/>
      <c r="X747" s="900"/>
      <c r="Y747" s="900"/>
      <c r="Z747" s="900"/>
    </row>
    <row r="748" spans="1:26">
      <c r="A748" s="900"/>
      <c r="B748" s="920"/>
      <c r="C748" s="920"/>
      <c r="D748" s="920"/>
      <c r="E748" s="920"/>
      <c r="F748" s="920"/>
      <c r="G748" s="920"/>
      <c r="V748" s="920"/>
      <c r="W748" s="920"/>
      <c r="X748" s="900"/>
      <c r="Y748" s="900"/>
      <c r="Z748" s="900"/>
    </row>
    <row r="749" spans="1:26">
      <c r="A749" s="900"/>
      <c r="B749" s="920"/>
      <c r="C749" s="920"/>
      <c r="D749" s="920"/>
      <c r="E749" s="920"/>
      <c r="F749" s="920"/>
      <c r="G749" s="920"/>
      <c r="V749" s="920"/>
      <c r="W749" s="920"/>
      <c r="X749" s="900"/>
      <c r="Y749" s="900"/>
      <c r="Z749" s="900"/>
    </row>
    <row r="750" spans="1:26">
      <c r="A750" s="900"/>
      <c r="B750" s="920"/>
      <c r="C750" s="920"/>
      <c r="D750" s="920"/>
      <c r="E750" s="920"/>
      <c r="F750" s="920"/>
      <c r="G750" s="920"/>
      <c r="V750" s="920"/>
      <c r="W750" s="920"/>
      <c r="X750" s="900"/>
      <c r="Y750" s="900"/>
      <c r="Z750" s="900"/>
    </row>
    <row r="751" spans="1:26">
      <c r="A751" s="900"/>
      <c r="B751" s="920"/>
      <c r="C751" s="920"/>
      <c r="D751" s="920"/>
      <c r="E751" s="920"/>
      <c r="F751" s="920"/>
      <c r="G751" s="920"/>
      <c r="V751" s="920"/>
      <c r="W751" s="920"/>
      <c r="X751" s="900"/>
      <c r="Y751" s="900"/>
      <c r="Z751" s="900"/>
    </row>
    <row r="752" spans="1:26">
      <c r="A752" s="900"/>
      <c r="B752" s="920"/>
      <c r="C752" s="920"/>
      <c r="D752" s="920"/>
      <c r="E752" s="920"/>
      <c r="F752" s="920"/>
      <c r="G752" s="920"/>
      <c r="V752" s="920"/>
      <c r="W752" s="920"/>
      <c r="X752" s="900"/>
      <c r="Y752" s="900"/>
      <c r="Z752" s="900"/>
    </row>
    <row r="753" spans="1:26">
      <c r="A753" s="900"/>
      <c r="B753" s="920"/>
      <c r="C753" s="920"/>
      <c r="D753" s="920"/>
      <c r="E753" s="920"/>
      <c r="F753" s="920"/>
      <c r="G753" s="920"/>
      <c r="V753" s="920"/>
      <c r="W753" s="920"/>
      <c r="X753" s="900"/>
      <c r="Y753" s="900"/>
      <c r="Z753" s="900"/>
    </row>
    <row r="754" spans="1:26">
      <c r="A754" s="900"/>
      <c r="B754" s="920"/>
      <c r="C754" s="920"/>
      <c r="D754" s="920"/>
      <c r="E754" s="920"/>
      <c r="F754" s="920"/>
      <c r="G754" s="920"/>
      <c r="V754" s="920"/>
      <c r="W754" s="920"/>
      <c r="X754" s="900"/>
      <c r="Y754" s="900"/>
      <c r="Z754" s="900"/>
    </row>
    <row r="755" spans="1:26">
      <c r="A755" s="900"/>
      <c r="B755" s="920"/>
      <c r="C755" s="920"/>
      <c r="D755" s="920"/>
      <c r="E755" s="920"/>
      <c r="F755" s="920"/>
      <c r="G755" s="920"/>
      <c r="V755" s="920"/>
      <c r="W755" s="920"/>
      <c r="X755" s="900"/>
      <c r="Y755" s="900"/>
      <c r="Z755" s="900"/>
    </row>
    <row r="756" spans="1:26">
      <c r="A756" s="900"/>
      <c r="B756" s="920"/>
      <c r="C756" s="920"/>
      <c r="D756" s="920"/>
      <c r="E756" s="920"/>
      <c r="F756" s="920"/>
      <c r="G756" s="920"/>
      <c r="V756" s="920"/>
      <c r="W756" s="920"/>
      <c r="X756" s="900"/>
      <c r="Y756" s="900"/>
      <c r="Z756" s="900"/>
    </row>
    <row r="757" spans="1:26">
      <c r="A757" s="900"/>
      <c r="B757" s="920"/>
      <c r="C757" s="920"/>
      <c r="D757" s="920"/>
      <c r="E757" s="920"/>
      <c r="F757" s="920"/>
      <c r="G757" s="920"/>
      <c r="V757" s="920"/>
      <c r="W757" s="920"/>
      <c r="X757" s="900"/>
      <c r="Y757" s="900"/>
      <c r="Z757" s="900"/>
    </row>
    <row r="758" spans="1:26">
      <c r="A758" s="900"/>
      <c r="B758" s="920"/>
      <c r="C758" s="920"/>
      <c r="D758" s="920"/>
      <c r="E758" s="920"/>
      <c r="F758" s="920"/>
      <c r="G758" s="920"/>
      <c r="V758" s="920"/>
      <c r="W758" s="920"/>
      <c r="X758" s="900"/>
      <c r="Y758" s="900"/>
      <c r="Z758" s="900"/>
    </row>
    <row r="759" spans="1:26">
      <c r="A759" s="900"/>
      <c r="B759" s="920"/>
      <c r="C759" s="920"/>
      <c r="D759" s="920"/>
      <c r="E759" s="920"/>
      <c r="F759" s="920"/>
      <c r="G759" s="920"/>
      <c r="V759" s="920"/>
      <c r="W759" s="920"/>
      <c r="X759" s="900"/>
      <c r="Y759" s="900"/>
      <c r="Z759" s="900"/>
    </row>
    <row r="760" spans="1:26">
      <c r="A760" s="900"/>
      <c r="B760" s="920"/>
      <c r="C760" s="920"/>
      <c r="D760" s="920"/>
      <c r="E760" s="920"/>
      <c r="F760" s="920"/>
      <c r="G760" s="920"/>
      <c r="V760" s="920"/>
      <c r="W760" s="920"/>
      <c r="X760" s="900"/>
      <c r="Y760" s="900"/>
      <c r="Z760" s="900"/>
    </row>
    <row r="761" spans="1:26">
      <c r="A761" s="900"/>
      <c r="B761" s="920"/>
      <c r="C761" s="920"/>
      <c r="D761" s="920"/>
      <c r="E761" s="920"/>
      <c r="F761" s="920"/>
      <c r="G761" s="920"/>
      <c r="V761" s="920"/>
      <c r="W761" s="920"/>
      <c r="X761" s="900"/>
      <c r="Y761" s="900"/>
      <c r="Z761" s="900"/>
    </row>
    <row r="762" spans="1:26">
      <c r="A762" s="900"/>
      <c r="B762" s="920"/>
      <c r="C762" s="920"/>
      <c r="D762" s="920"/>
      <c r="E762" s="920"/>
      <c r="F762" s="920"/>
      <c r="G762" s="920"/>
      <c r="V762" s="920"/>
      <c r="W762" s="920"/>
      <c r="X762" s="900"/>
      <c r="Y762" s="900"/>
      <c r="Z762" s="900"/>
    </row>
    <row r="763" spans="1:26">
      <c r="A763" s="900"/>
      <c r="B763" s="920"/>
      <c r="C763" s="920"/>
      <c r="D763" s="920"/>
      <c r="E763" s="920"/>
      <c r="F763" s="920"/>
      <c r="G763" s="920"/>
      <c r="V763" s="920"/>
      <c r="W763" s="920"/>
      <c r="X763" s="900"/>
      <c r="Y763" s="900"/>
      <c r="Z763" s="900"/>
    </row>
    <row r="764" spans="1:26">
      <c r="A764" s="900"/>
      <c r="B764" s="920"/>
      <c r="C764" s="920"/>
      <c r="D764" s="920"/>
      <c r="E764" s="920"/>
      <c r="F764" s="920"/>
      <c r="G764" s="920"/>
      <c r="V764" s="920"/>
      <c r="W764" s="920"/>
      <c r="X764" s="900"/>
      <c r="Y764" s="900"/>
      <c r="Z764" s="900"/>
    </row>
    <row r="765" spans="1:26">
      <c r="A765" s="900"/>
      <c r="B765" s="920"/>
      <c r="C765" s="920"/>
      <c r="D765" s="920"/>
      <c r="E765" s="920"/>
      <c r="F765" s="920"/>
      <c r="G765" s="920"/>
      <c r="V765" s="920"/>
      <c r="W765" s="920"/>
      <c r="X765" s="900"/>
      <c r="Y765" s="900"/>
      <c r="Z765" s="900"/>
    </row>
    <row r="766" spans="1:26">
      <c r="A766" s="900"/>
      <c r="B766" s="920"/>
      <c r="C766" s="920"/>
      <c r="D766" s="920"/>
      <c r="E766" s="920"/>
      <c r="F766" s="920"/>
      <c r="G766" s="920"/>
      <c r="V766" s="920"/>
      <c r="W766" s="920"/>
      <c r="X766" s="900"/>
      <c r="Y766" s="900"/>
      <c r="Z766" s="900"/>
    </row>
    <row r="767" spans="1:26">
      <c r="A767" s="900"/>
      <c r="B767" s="920"/>
      <c r="C767" s="920"/>
      <c r="D767" s="920"/>
      <c r="E767" s="920"/>
      <c r="F767" s="920"/>
      <c r="G767" s="920"/>
      <c r="V767" s="920"/>
      <c r="W767" s="920"/>
      <c r="X767" s="900"/>
      <c r="Y767" s="900"/>
      <c r="Z767" s="900"/>
    </row>
    <row r="768" spans="1:26">
      <c r="A768" s="900"/>
      <c r="B768" s="920"/>
      <c r="C768" s="920"/>
      <c r="D768" s="920"/>
      <c r="E768" s="920"/>
      <c r="F768" s="920"/>
      <c r="G768" s="920"/>
      <c r="V768" s="920"/>
      <c r="W768" s="920"/>
      <c r="X768" s="900"/>
      <c r="Y768" s="900"/>
      <c r="Z768" s="900"/>
    </row>
    <row r="769" spans="1:26">
      <c r="A769" s="900"/>
      <c r="B769" s="920"/>
      <c r="C769" s="920"/>
      <c r="D769" s="920"/>
      <c r="E769" s="920"/>
      <c r="F769" s="920"/>
      <c r="G769" s="920"/>
      <c r="V769" s="920"/>
      <c r="W769" s="920"/>
      <c r="X769" s="900"/>
      <c r="Y769" s="900"/>
      <c r="Z769" s="900"/>
    </row>
    <row r="770" spans="1:26">
      <c r="A770" s="900"/>
      <c r="B770" s="920"/>
      <c r="C770" s="920"/>
      <c r="D770" s="920"/>
      <c r="E770" s="920"/>
      <c r="F770" s="920"/>
      <c r="G770" s="920"/>
      <c r="V770" s="920"/>
      <c r="W770" s="920"/>
      <c r="X770" s="900"/>
      <c r="Y770" s="900"/>
      <c r="Z770" s="900"/>
    </row>
    <row r="771" spans="1:26">
      <c r="A771" s="900"/>
      <c r="B771" s="920"/>
      <c r="C771" s="920"/>
      <c r="D771" s="920"/>
      <c r="E771" s="920"/>
      <c r="F771" s="920"/>
      <c r="G771" s="920"/>
      <c r="V771" s="920"/>
      <c r="W771" s="920"/>
      <c r="X771" s="900"/>
      <c r="Y771" s="900"/>
      <c r="Z771" s="900"/>
    </row>
    <row r="772" spans="1:26">
      <c r="A772" s="900"/>
      <c r="B772" s="920"/>
      <c r="C772" s="920"/>
      <c r="D772" s="920"/>
      <c r="E772" s="920"/>
      <c r="F772" s="920"/>
      <c r="G772" s="920"/>
      <c r="V772" s="920"/>
      <c r="W772" s="920"/>
      <c r="X772" s="900"/>
      <c r="Y772" s="900"/>
      <c r="Z772" s="900"/>
    </row>
    <row r="773" spans="1:26">
      <c r="A773" s="900"/>
      <c r="B773" s="920"/>
      <c r="C773" s="920"/>
      <c r="D773" s="920"/>
      <c r="E773" s="920"/>
      <c r="F773" s="920"/>
      <c r="G773" s="920"/>
      <c r="V773" s="920"/>
      <c r="W773" s="920"/>
      <c r="X773" s="900"/>
      <c r="Y773" s="900"/>
      <c r="Z773" s="900"/>
    </row>
    <row r="774" spans="1:26">
      <c r="A774" s="900"/>
      <c r="B774" s="920"/>
      <c r="C774" s="920"/>
      <c r="D774" s="920"/>
      <c r="E774" s="920"/>
      <c r="F774" s="920"/>
      <c r="G774" s="920"/>
      <c r="V774" s="920"/>
      <c r="W774" s="920"/>
      <c r="X774" s="900"/>
      <c r="Y774" s="900"/>
      <c r="Z774" s="900"/>
    </row>
    <row r="775" spans="1:26">
      <c r="A775" s="900"/>
      <c r="B775" s="920"/>
      <c r="C775" s="920"/>
      <c r="D775" s="920"/>
      <c r="E775" s="920"/>
      <c r="F775" s="920"/>
      <c r="G775" s="920"/>
      <c r="V775" s="920"/>
      <c r="W775" s="920"/>
      <c r="X775" s="900"/>
      <c r="Y775" s="900"/>
      <c r="Z775" s="900"/>
    </row>
    <row r="776" spans="1:26">
      <c r="A776" s="900"/>
      <c r="B776" s="920"/>
      <c r="C776" s="920"/>
      <c r="D776" s="920"/>
      <c r="E776" s="920"/>
      <c r="F776" s="920"/>
      <c r="G776" s="920"/>
      <c r="V776" s="920"/>
      <c r="W776" s="920"/>
      <c r="X776" s="900"/>
      <c r="Y776" s="900"/>
      <c r="Z776" s="900"/>
    </row>
    <row r="777" spans="1:26">
      <c r="A777" s="900"/>
      <c r="B777" s="920"/>
      <c r="C777" s="920"/>
      <c r="D777" s="920"/>
      <c r="E777" s="920"/>
      <c r="F777" s="920"/>
      <c r="G777" s="920"/>
      <c r="V777" s="920"/>
      <c r="W777" s="920"/>
      <c r="X777" s="900"/>
      <c r="Y777" s="900"/>
      <c r="Z777" s="900"/>
    </row>
    <row r="778" spans="1:26">
      <c r="A778" s="900"/>
      <c r="B778" s="920"/>
      <c r="C778" s="920"/>
      <c r="D778" s="920"/>
      <c r="E778" s="920"/>
      <c r="F778" s="920"/>
      <c r="G778" s="920"/>
      <c r="V778" s="920"/>
      <c r="W778" s="920"/>
      <c r="X778" s="900"/>
      <c r="Y778" s="900"/>
      <c r="Z778" s="900"/>
    </row>
    <row r="779" spans="1:26">
      <c r="A779" s="900"/>
      <c r="B779" s="920"/>
      <c r="C779" s="920"/>
      <c r="D779" s="920"/>
      <c r="E779" s="920"/>
      <c r="F779" s="920"/>
      <c r="G779" s="920"/>
      <c r="V779" s="920"/>
      <c r="W779" s="920"/>
      <c r="X779" s="900"/>
      <c r="Y779" s="900"/>
      <c r="Z779" s="900"/>
    </row>
    <row r="780" spans="1:26">
      <c r="A780" s="900"/>
      <c r="B780" s="920"/>
      <c r="C780" s="920"/>
      <c r="D780" s="920"/>
      <c r="E780" s="920"/>
      <c r="F780" s="920"/>
      <c r="G780" s="920"/>
      <c r="V780" s="920"/>
      <c r="W780" s="920"/>
      <c r="X780" s="900"/>
      <c r="Y780" s="900"/>
      <c r="Z780" s="900"/>
    </row>
    <row r="781" spans="1:26">
      <c r="A781" s="900"/>
      <c r="B781" s="920"/>
      <c r="C781" s="920"/>
      <c r="D781" s="920"/>
      <c r="E781" s="920"/>
      <c r="F781" s="920"/>
      <c r="G781" s="920"/>
      <c r="V781" s="920"/>
      <c r="W781" s="920"/>
      <c r="X781" s="900"/>
      <c r="Y781" s="900"/>
      <c r="Z781" s="900"/>
    </row>
    <row r="782" spans="1:26">
      <c r="A782" s="900"/>
      <c r="B782" s="920"/>
      <c r="C782" s="920"/>
      <c r="D782" s="920"/>
      <c r="E782" s="920"/>
      <c r="F782" s="920"/>
      <c r="G782" s="920"/>
      <c r="V782" s="920"/>
      <c r="W782" s="920"/>
      <c r="X782" s="900"/>
      <c r="Y782" s="900"/>
      <c r="Z782" s="900"/>
    </row>
    <row r="783" spans="1:26">
      <c r="A783" s="900"/>
      <c r="B783" s="920"/>
      <c r="C783" s="920"/>
      <c r="D783" s="920"/>
      <c r="E783" s="920"/>
      <c r="F783" s="920"/>
      <c r="G783" s="920"/>
      <c r="V783" s="920"/>
      <c r="W783" s="920"/>
      <c r="X783" s="900"/>
      <c r="Y783" s="900"/>
      <c r="Z783" s="900"/>
    </row>
    <row r="784" spans="1:26">
      <c r="A784" s="900"/>
      <c r="B784" s="920"/>
      <c r="C784" s="920"/>
      <c r="D784" s="920"/>
      <c r="E784" s="920"/>
      <c r="F784" s="920"/>
      <c r="G784" s="920"/>
      <c r="V784" s="920"/>
      <c r="W784" s="920"/>
      <c r="X784" s="900"/>
      <c r="Y784" s="900"/>
      <c r="Z784" s="900"/>
    </row>
    <row r="785" spans="1:26">
      <c r="A785" s="900"/>
      <c r="B785" s="920"/>
      <c r="C785" s="920"/>
      <c r="D785" s="920"/>
      <c r="E785" s="920"/>
      <c r="F785" s="920"/>
      <c r="G785" s="920"/>
      <c r="V785" s="920"/>
      <c r="W785" s="920"/>
      <c r="X785" s="900"/>
      <c r="Y785" s="900"/>
      <c r="Z785" s="900"/>
    </row>
    <row r="786" spans="1:26">
      <c r="A786" s="900"/>
      <c r="B786" s="920"/>
      <c r="C786" s="920"/>
      <c r="D786" s="920"/>
      <c r="E786" s="920"/>
      <c r="F786" s="920"/>
      <c r="G786" s="920"/>
      <c r="V786" s="920"/>
      <c r="W786" s="920"/>
      <c r="X786" s="900"/>
      <c r="Y786" s="900"/>
      <c r="Z786" s="900"/>
    </row>
    <row r="787" spans="1:26">
      <c r="A787" s="900"/>
      <c r="B787" s="920"/>
      <c r="C787" s="920"/>
      <c r="D787" s="920"/>
      <c r="E787" s="920"/>
      <c r="F787" s="920"/>
      <c r="G787" s="920"/>
      <c r="V787" s="920"/>
      <c r="W787" s="920"/>
      <c r="X787" s="900"/>
      <c r="Y787" s="900"/>
      <c r="Z787" s="900"/>
    </row>
    <row r="788" spans="1:26">
      <c r="A788" s="900"/>
      <c r="B788" s="920"/>
      <c r="C788" s="920"/>
      <c r="D788" s="920"/>
      <c r="E788" s="920"/>
      <c r="F788" s="920"/>
      <c r="G788" s="920"/>
      <c r="V788" s="920"/>
      <c r="W788" s="920"/>
      <c r="X788" s="900"/>
      <c r="Y788" s="900"/>
      <c r="Z788" s="900"/>
    </row>
    <row r="789" spans="1:26">
      <c r="A789" s="900"/>
      <c r="B789" s="920"/>
      <c r="C789" s="920"/>
      <c r="D789" s="920"/>
      <c r="E789" s="920"/>
      <c r="F789" s="920"/>
      <c r="G789" s="920"/>
      <c r="V789" s="920"/>
      <c r="W789" s="920"/>
      <c r="X789" s="900"/>
      <c r="Y789" s="900"/>
      <c r="Z789" s="900"/>
    </row>
    <row r="790" spans="1:26">
      <c r="A790" s="900"/>
      <c r="B790" s="920"/>
      <c r="C790" s="920"/>
      <c r="D790" s="920"/>
      <c r="E790" s="920"/>
      <c r="F790" s="920"/>
      <c r="G790" s="920"/>
      <c r="V790" s="920"/>
      <c r="W790" s="920"/>
      <c r="X790" s="900"/>
      <c r="Y790" s="900"/>
      <c r="Z790" s="900"/>
    </row>
    <row r="791" spans="1:26">
      <c r="A791" s="900"/>
      <c r="B791" s="920"/>
      <c r="C791" s="920"/>
      <c r="D791" s="920"/>
      <c r="E791" s="920"/>
      <c r="F791" s="920"/>
      <c r="G791" s="920"/>
      <c r="V791" s="920"/>
      <c r="W791" s="920"/>
      <c r="X791" s="900"/>
      <c r="Y791" s="900"/>
      <c r="Z791" s="900"/>
    </row>
    <row r="792" spans="1:26">
      <c r="A792" s="900"/>
      <c r="B792" s="920"/>
      <c r="C792" s="920"/>
      <c r="D792" s="920"/>
      <c r="E792" s="920"/>
      <c r="F792" s="920"/>
      <c r="G792" s="920"/>
      <c r="V792" s="920"/>
      <c r="W792" s="920"/>
      <c r="X792" s="900"/>
      <c r="Y792" s="900"/>
      <c r="Z792" s="900"/>
    </row>
    <row r="793" spans="1:26">
      <c r="A793" s="900"/>
      <c r="B793" s="920"/>
      <c r="C793" s="920"/>
      <c r="D793" s="920"/>
      <c r="E793" s="920"/>
      <c r="F793" s="920"/>
      <c r="G793" s="920"/>
      <c r="V793" s="920"/>
      <c r="W793" s="920"/>
      <c r="X793" s="900"/>
      <c r="Y793" s="900"/>
      <c r="Z793" s="900"/>
    </row>
    <row r="794" spans="1:26">
      <c r="A794" s="900"/>
      <c r="B794" s="920"/>
      <c r="C794" s="920"/>
      <c r="D794" s="920"/>
      <c r="E794" s="920"/>
      <c r="F794" s="920"/>
      <c r="G794" s="920"/>
      <c r="V794" s="920"/>
      <c r="W794" s="920"/>
      <c r="X794" s="900"/>
      <c r="Y794" s="900"/>
      <c r="Z794" s="900"/>
    </row>
    <row r="795" spans="1:26">
      <c r="A795" s="900"/>
      <c r="B795" s="920"/>
      <c r="C795" s="920"/>
      <c r="D795" s="920"/>
      <c r="E795" s="920"/>
      <c r="F795" s="920"/>
      <c r="G795" s="920"/>
      <c r="V795" s="920"/>
      <c r="W795" s="920"/>
      <c r="X795" s="900"/>
      <c r="Y795" s="900"/>
      <c r="Z795" s="900"/>
    </row>
    <row r="796" spans="1:26">
      <c r="A796" s="900"/>
      <c r="B796" s="920"/>
      <c r="C796" s="920"/>
      <c r="D796" s="920"/>
      <c r="E796" s="920"/>
      <c r="F796" s="920"/>
      <c r="G796" s="920"/>
      <c r="V796" s="920"/>
      <c r="W796" s="920"/>
      <c r="X796" s="900"/>
      <c r="Y796" s="900"/>
      <c r="Z796" s="900"/>
    </row>
    <row r="797" spans="1:26">
      <c r="A797" s="900"/>
      <c r="B797" s="920"/>
      <c r="C797" s="920"/>
      <c r="D797" s="920"/>
      <c r="E797" s="920"/>
      <c r="F797" s="920"/>
      <c r="G797" s="920"/>
      <c r="V797" s="920"/>
      <c r="W797" s="920"/>
      <c r="X797" s="900"/>
      <c r="Y797" s="900"/>
      <c r="Z797" s="900"/>
    </row>
    <row r="798" spans="1:26">
      <c r="A798" s="900"/>
      <c r="B798" s="920"/>
      <c r="C798" s="920"/>
      <c r="D798" s="920"/>
      <c r="E798" s="920"/>
      <c r="F798" s="920"/>
      <c r="G798" s="920"/>
      <c r="V798" s="920"/>
      <c r="W798" s="920"/>
      <c r="X798" s="900"/>
      <c r="Y798" s="900"/>
      <c r="Z798" s="900"/>
    </row>
    <row r="799" spans="1:26">
      <c r="A799" s="900"/>
      <c r="B799" s="920"/>
      <c r="C799" s="920"/>
      <c r="D799" s="920"/>
      <c r="E799" s="920"/>
      <c r="F799" s="920"/>
      <c r="G799" s="920"/>
      <c r="V799" s="920"/>
      <c r="W799" s="920"/>
      <c r="X799" s="900"/>
      <c r="Y799" s="900"/>
      <c r="Z799" s="900"/>
    </row>
    <row r="800" spans="1:26">
      <c r="A800" s="900"/>
      <c r="B800" s="920"/>
      <c r="C800" s="920"/>
      <c r="D800" s="920"/>
      <c r="E800" s="920"/>
      <c r="F800" s="920"/>
      <c r="G800" s="920"/>
      <c r="V800" s="920"/>
      <c r="W800" s="920"/>
      <c r="X800" s="900"/>
      <c r="Y800" s="900"/>
      <c r="Z800" s="900"/>
    </row>
    <row r="801" spans="1:26">
      <c r="A801" s="900"/>
      <c r="B801" s="920"/>
      <c r="C801" s="920"/>
      <c r="D801" s="920"/>
      <c r="E801" s="920"/>
      <c r="F801" s="920"/>
      <c r="G801" s="920"/>
      <c r="V801" s="920"/>
      <c r="W801" s="920"/>
      <c r="X801" s="900"/>
      <c r="Y801" s="900"/>
      <c r="Z801" s="900"/>
    </row>
    <row r="802" spans="1:26">
      <c r="A802" s="900"/>
      <c r="B802" s="920"/>
      <c r="C802" s="920"/>
      <c r="D802" s="920"/>
      <c r="E802" s="920"/>
      <c r="F802" s="920"/>
      <c r="G802" s="920"/>
      <c r="V802" s="920"/>
      <c r="W802" s="920"/>
      <c r="X802" s="900"/>
      <c r="Y802" s="900"/>
      <c r="Z802" s="900"/>
    </row>
    <row r="803" spans="1:26">
      <c r="A803" s="900"/>
      <c r="B803" s="920"/>
      <c r="C803" s="920"/>
      <c r="D803" s="920"/>
      <c r="E803" s="920"/>
      <c r="F803" s="920"/>
      <c r="G803" s="920"/>
      <c r="V803" s="920"/>
      <c r="W803" s="920"/>
      <c r="X803" s="900"/>
      <c r="Y803" s="900"/>
      <c r="Z803" s="900"/>
    </row>
    <row r="804" spans="1:26">
      <c r="A804" s="900"/>
      <c r="B804" s="920"/>
      <c r="C804" s="920"/>
      <c r="D804" s="920"/>
      <c r="E804" s="920"/>
      <c r="F804" s="920"/>
      <c r="G804" s="920"/>
      <c r="V804" s="920"/>
      <c r="W804" s="920"/>
      <c r="X804" s="900"/>
      <c r="Y804" s="900"/>
      <c r="Z804" s="900"/>
    </row>
    <row r="805" spans="1:26">
      <c r="A805" s="900"/>
      <c r="B805" s="920"/>
      <c r="C805" s="920"/>
      <c r="D805" s="920"/>
      <c r="E805" s="920"/>
      <c r="F805" s="920"/>
      <c r="G805" s="920"/>
      <c r="V805" s="920"/>
      <c r="W805" s="920"/>
      <c r="X805" s="900"/>
      <c r="Y805" s="900"/>
      <c r="Z805" s="900"/>
    </row>
    <row r="806" spans="1:26">
      <c r="A806" s="900"/>
      <c r="B806" s="920"/>
      <c r="C806" s="920"/>
      <c r="D806" s="920"/>
      <c r="E806" s="920"/>
      <c r="F806" s="920"/>
      <c r="G806" s="920"/>
      <c r="V806" s="920"/>
      <c r="W806" s="920"/>
      <c r="X806" s="900"/>
      <c r="Y806" s="900"/>
      <c r="Z806" s="900"/>
    </row>
    <row r="807" spans="1:26">
      <c r="A807" s="900"/>
      <c r="B807" s="920"/>
      <c r="C807" s="920"/>
      <c r="D807" s="920"/>
      <c r="E807" s="920"/>
      <c r="F807" s="920"/>
      <c r="G807" s="920"/>
      <c r="V807" s="920"/>
      <c r="W807" s="920"/>
      <c r="X807" s="900"/>
      <c r="Y807" s="900"/>
      <c r="Z807" s="900"/>
    </row>
    <row r="808" spans="1:26">
      <c r="A808" s="900"/>
      <c r="B808" s="920"/>
      <c r="C808" s="920"/>
      <c r="D808" s="920"/>
      <c r="E808" s="920"/>
      <c r="F808" s="920"/>
      <c r="G808" s="920"/>
      <c r="V808" s="920"/>
      <c r="W808" s="920"/>
      <c r="X808" s="900"/>
      <c r="Y808" s="900"/>
      <c r="Z808" s="900"/>
    </row>
    <row r="809" spans="1:26">
      <c r="A809" s="900"/>
      <c r="B809" s="920"/>
      <c r="C809" s="920"/>
      <c r="D809" s="920"/>
      <c r="E809" s="920"/>
      <c r="F809" s="920"/>
      <c r="G809" s="920"/>
      <c r="V809" s="920"/>
      <c r="W809" s="920"/>
      <c r="X809" s="900"/>
      <c r="Y809" s="900"/>
      <c r="Z809" s="900"/>
    </row>
    <row r="810" spans="1:26">
      <c r="A810" s="900"/>
      <c r="B810" s="920"/>
      <c r="C810" s="920"/>
      <c r="D810" s="920"/>
      <c r="E810" s="920"/>
      <c r="F810" s="920"/>
      <c r="G810" s="920"/>
      <c r="V810" s="920"/>
      <c r="W810" s="920"/>
      <c r="X810" s="900"/>
      <c r="Y810" s="900"/>
      <c r="Z810" s="900"/>
    </row>
    <row r="811" spans="1:26">
      <c r="A811" s="900"/>
      <c r="B811" s="920"/>
      <c r="C811" s="920"/>
      <c r="D811" s="920"/>
      <c r="E811" s="920"/>
      <c r="F811" s="920"/>
      <c r="G811" s="920"/>
      <c r="V811" s="920"/>
      <c r="W811" s="920"/>
      <c r="X811" s="900"/>
      <c r="Y811" s="900"/>
      <c r="Z811" s="900"/>
    </row>
    <row r="812" spans="1:26">
      <c r="A812" s="900"/>
      <c r="B812" s="920"/>
      <c r="C812" s="920"/>
      <c r="D812" s="920"/>
      <c r="E812" s="920"/>
      <c r="F812" s="920"/>
      <c r="G812" s="920"/>
      <c r="V812" s="920"/>
      <c r="W812" s="920"/>
      <c r="X812" s="900"/>
      <c r="Y812" s="900"/>
      <c r="Z812" s="900"/>
    </row>
    <row r="813" spans="1:26">
      <c r="A813" s="900"/>
      <c r="B813" s="920"/>
      <c r="C813" s="920"/>
      <c r="D813" s="920"/>
      <c r="E813" s="920"/>
      <c r="F813" s="920"/>
      <c r="G813" s="920"/>
      <c r="V813" s="920"/>
      <c r="W813" s="920"/>
      <c r="X813" s="900"/>
      <c r="Y813" s="900"/>
      <c r="Z813" s="900"/>
    </row>
    <row r="814" spans="1:26">
      <c r="A814" s="900"/>
      <c r="B814" s="920"/>
      <c r="C814" s="920"/>
      <c r="D814" s="920"/>
      <c r="E814" s="920"/>
      <c r="F814" s="920"/>
      <c r="G814" s="920"/>
      <c r="V814" s="920"/>
      <c r="W814" s="920"/>
      <c r="X814" s="900"/>
      <c r="Y814" s="900"/>
      <c r="Z814" s="900"/>
    </row>
    <row r="815" spans="1:26">
      <c r="A815" s="900"/>
      <c r="B815" s="920"/>
      <c r="C815" s="920"/>
      <c r="D815" s="920"/>
      <c r="E815" s="920"/>
      <c r="F815" s="920"/>
      <c r="G815" s="920"/>
      <c r="V815" s="920"/>
      <c r="W815" s="920"/>
      <c r="X815" s="900"/>
      <c r="Y815" s="900"/>
      <c r="Z815" s="900"/>
    </row>
    <row r="816" spans="1:26">
      <c r="A816" s="900"/>
      <c r="B816" s="920"/>
      <c r="C816" s="920"/>
      <c r="D816" s="920"/>
      <c r="E816" s="920"/>
      <c r="F816" s="920"/>
      <c r="G816" s="920"/>
      <c r="V816" s="920"/>
      <c r="W816" s="920"/>
      <c r="X816" s="900"/>
      <c r="Y816" s="900"/>
      <c r="Z816" s="900"/>
    </row>
    <row r="817" spans="1:26">
      <c r="A817" s="900"/>
      <c r="B817" s="920"/>
      <c r="C817" s="920"/>
      <c r="D817" s="920"/>
      <c r="E817" s="920"/>
      <c r="F817" s="920"/>
      <c r="G817" s="920"/>
      <c r="V817" s="920"/>
      <c r="W817" s="920"/>
      <c r="X817" s="900"/>
      <c r="Y817" s="900"/>
      <c r="Z817" s="900"/>
    </row>
    <row r="818" spans="1:26">
      <c r="A818" s="900"/>
      <c r="B818" s="920"/>
      <c r="C818" s="920"/>
      <c r="D818" s="920"/>
      <c r="E818" s="920"/>
      <c r="F818" s="920"/>
      <c r="G818" s="920"/>
      <c r="V818" s="920"/>
      <c r="W818" s="920"/>
      <c r="X818" s="900"/>
      <c r="Y818" s="900"/>
      <c r="Z818" s="900"/>
    </row>
    <row r="819" spans="1:26">
      <c r="A819" s="900"/>
      <c r="B819" s="920"/>
      <c r="C819" s="920"/>
      <c r="D819" s="920"/>
      <c r="E819" s="920"/>
      <c r="F819" s="920"/>
      <c r="G819" s="920"/>
      <c r="V819" s="920"/>
      <c r="W819" s="920"/>
      <c r="X819" s="900"/>
      <c r="Y819" s="900"/>
      <c r="Z819" s="900"/>
    </row>
    <row r="820" spans="1:26">
      <c r="A820" s="900"/>
      <c r="B820" s="920"/>
      <c r="C820" s="920"/>
      <c r="D820" s="920"/>
      <c r="E820" s="920"/>
      <c r="F820" s="920"/>
      <c r="G820" s="920"/>
      <c r="V820" s="920"/>
      <c r="W820" s="920"/>
      <c r="X820" s="900"/>
      <c r="Y820" s="900"/>
      <c r="Z820" s="900"/>
    </row>
    <row r="821" spans="1:26">
      <c r="A821" s="900"/>
      <c r="B821" s="920"/>
      <c r="C821" s="920"/>
      <c r="D821" s="920"/>
      <c r="E821" s="920"/>
      <c r="F821" s="920"/>
      <c r="G821" s="920"/>
      <c r="V821" s="920"/>
      <c r="W821" s="920"/>
      <c r="X821" s="900"/>
      <c r="Y821" s="900"/>
      <c r="Z821" s="900"/>
    </row>
    <row r="822" spans="1:26">
      <c r="A822" s="900"/>
      <c r="B822" s="920"/>
      <c r="C822" s="920"/>
      <c r="D822" s="920"/>
      <c r="E822" s="920"/>
      <c r="F822" s="920"/>
      <c r="G822" s="920"/>
      <c r="V822" s="920"/>
      <c r="W822" s="920"/>
      <c r="X822" s="900"/>
      <c r="Y822" s="900"/>
      <c r="Z822" s="900"/>
    </row>
    <row r="823" spans="1:26">
      <c r="A823" s="900"/>
      <c r="B823" s="920"/>
      <c r="C823" s="920"/>
      <c r="D823" s="920"/>
      <c r="E823" s="920"/>
      <c r="F823" s="920"/>
      <c r="G823" s="920"/>
      <c r="V823" s="920"/>
      <c r="W823" s="920"/>
      <c r="X823" s="900"/>
      <c r="Y823" s="900"/>
      <c r="Z823" s="900"/>
    </row>
    <row r="824" spans="1:26">
      <c r="A824" s="900"/>
      <c r="B824" s="920"/>
      <c r="C824" s="920"/>
      <c r="D824" s="920"/>
      <c r="E824" s="920"/>
      <c r="F824" s="920"/>
      <c r="G824" s="920"/>
      <c r="V824" s="920"/>
      <c r="W824" s="920"/>
      <c r="X824" s="900"/>
      <c r="Y824" s="900"/>
      <c r="Z824" s="900"/>
    </row>
    <row r="825" spans="1:26">
      <c r="A825" s="900"/>
      <c r="B825" s="920"/>
      <c r="C825" s="920"/>
      <c r="D825" s="920"/>
      <c r="E825" s="920"/>
      <c r="F825" s="920"/>
      <c r="G825" s="920"/>
      <c r="V825" s="920"/>
      <c r="W825" s="920"/>
      <c r="X825" s="900"/>
      <c r="Y825" s="900"/>
      <c r="Z825" s="900"/>
    </row>
    <row r="826" spans="1:26">
      <c r="A826" s="900"/>
      <c r="B826" s="920"/>
      <c r="C826" s="920"/>
      <c r="D826" s="920"/>
      <c r="E826" s="920"/>
      <c r="F826" s="920"/>
      <c r="G826" s="920"/>
      <c r="V826" s="920"/>
      <c r="W826" s="920"/>
      <c r="X826" s="900"/>
      <c r="Y826" s="900"/>
      <c r="Z826" s="900"/>
    </row>
    <row r="827" spans="1:26">
      <c r="A827" s="900"/>
      <c r="B827" s="920"/>
      <c r="C827" s="920"/>
      <c r="D827" s="920"/>
      <c r="E827" s="920"/>
      <c r="F827" s="920"/>
      <c r="G827" s="920"/>
      <c r="V827" s="920"/>
      <c r="W827" s="920"/>
      <c r="X827" s="900"/>
      <c r="Y827" s="900"/>
      <c r="Z827" s="900"/>
    </row>
    <row r="828" spans="1:26">
      <c r="A828" s="900"/>
      <c r="B828" s="920"/>
      <c r="C828" s="920"/>
      <c r="D828" s="920"/>
      <c r="E828" s="920"/>
      <c r="F828" s="920"/>
      <c r="G828" s="920"/>
      <c r="V828" s="920"/>
      <c r="W828" s="920"/>
      <c r="X828" s="900"/>
      <c r="Y828" s="900"/>
      <c r="Z828" s="900"/>
    </row>
    <row r="829" spans="1:26">
      <c r="A829" s="900"/>
      <c r="B829" s="920"/>
      <c r="C829" s="920"/>
      <c r="D829" s="920"/>
      <c r="E829" s="920"/>
      <c r="F829" s="920"/>
      <c r="G829" s="920"/>
      <c r="V829" s="920"/>
      <c r="W829" s="920"/>
      <c r="X829" s="900"/>
      <c r="Y829" s="900"/>
      <c r="Z829" s="900"/>
    </row>
    <row r="830" spans="1:26">
      <c r="A830" s="900"/>
      <c r="B830" s="920"/>
      <c r="C830" s="920"/>
      <c r="D830" s="920"/>
      <c r="E830" s="920"/>
      <c r="F830" s="920"/>
      <c r="G830" s="920"/>
      <c r="V830" s="920"/>
      <c r="W830" s="920"/>
      <c r="X830" s="900"/>
      <c r="Y830" s="900"/>
      <c r="Z830" s="900"/>
    </row>
    <row r="831" spans="1:26">
      <c r="A831" s="900"/>
      <c r="B831" s="920"/>
      <c r="C831" s="920"/>
      <c r="D831" s="920"/>
      <c r="E831" s="920"/>
      <c r="F831" s="920"/>
      <c r="G831" s="920"/>
      <c r="V831" s="920"/>
      <c r="W831" s="920"/>
      <c r="X831" s="900"/>
      <c r="Y831" s="900"/>
      <c r="Z831" s="900"/>
    </row>
    <row r="832" spans="1:26">
      <c r="A832" s="900"/>
      <c r="B832" s="920"/>
      <c r="C832" s="920"/>
      <c r="D832" s="920"/>
      <c r="E832" s="920"/>
      <c r="F832" s="920"/>
      <c r="G832" s="920"/>
      <c r="V832" s="920"/>
      <c r="W832" s="920"/>
      <c r="X832" s="900"/>
      <c r="Y832" s="900"/>
      <c r="Z832" s="900"/>
    </row>
    <row r="833" spans="1:26">
      <c r="A833" s="900"/>
      <c r="B833" s="920"/>
      <c r="C833" s="920"/>
      <c r="D833" s="920"/>
      <c r="E833" s="920"/>
      <c r="F833" s="920"/>
      <c r="G833" s="920"/>
      <c r="V833" s="920"/>
      <c r="W833" s="920"/>
      <c r="X833" s="900"/>
      <c r="Y833" s="900"/>
      <c r="Z833" s="900"/>
    </row>
    <row r="834" spans="1:26">
      <c r="A834" s="900"/>
      <c r="B834" s="920"/>
      <c r="C834" s="920"/>
      <c r="D834" s="920"/>
      <c r="E834" s="920"/>
      <c r="F834" s="920"/>
      <c r="G834" s="920"/>
      <c r="V834" s="920"/>
      <c r="W834" s="920"/>
      <c r="X834" s="900"/>
      <c r="Y834" s="900"/>
      <c r="Z834" s="900"/>
    </row>
    <row r="835" spans="1:26">
      <c r="A835" s="900"/>
      <c r="B835" s="920"/>
      <c r="C835" s="920"/>
      <c r="D835" s="920"/>
      <c r="E835" s="920"/>
      <c r="F835" s="920"/>
      <c r="G835" s="920"/>
      <c r="V835" s="920"/>
      <c r="W835" s="920"/>
      <c r="X835" s="900"/>
      <c r="Y835" s="900"/>
      <c r="Z835" s="900"/>
    </row>
    <row r="836" spans="1:26">
      <c r="A836" s="900"/>
      <c r="B836" s="920"/>
      <c r="C836" s="920"/>
      <c r="D836" s="920"/>
      <c r="E836" s="920"/>
      <c r="F836" s="920"/>
      <c r="G836" s="920"/>
      <c r="V836" s="920"/>
      <c r="W836" s="920"/>
      <c r="X836" s="900"/>
      <c r="Y836" s="900"/>
      <c r="Z836" s="900"/>
    </row>
    <row r="837" spans="1:26">
      <c r="A837" s="900"/>
      <c r="B837" s="920"/>
      <c r="C837" s="920"/>
      <c r="D837" s="920"/>
      <c r="E837" s="920"/>
      <c r="F837" s="920"/>
      <c r="G837" s="920"/>
      <c r="V837" s="920"/>
      <c r="W837" s="920"/>
      <c r="X837" s="900"/>
      <c r="Y837" s="900"/>
      <c r="Z837" s="900"/>
    </row>
    <row r="838" spans="1:26">
      <c r="A838" s="900"/>
      <c r="B838" s="920"/>
      <c r="C838" s="920"/>
      <c r="D838" s="920"/>
      <c r="E838" s="920"/>
      <c r="F838" s="920"/>
      <c r="G838" s="920"/>
      <c r="V838" s="920"/>
      <c r="W838" s="920"/>
      <c r="X838" s="900"/>
      <c r="Y838" s="900"/>
      <c r="Z838" s="900"/>
    </row>
    <row r="839" spans="1:26">
      <c r="A839" s="900"/>
      <c r="B839" s="920"/>
      <c r="C839" s="920"/>
      <c r="D839" s="920"/>
      <c r="E839" s="920"/>
      <c r="F839" s="920"/>
      <c r="G839" s="920"/>
      <c r="V839" s="920"/>
      <c r="W839" s="920"/>
      <c r="X839" s="900"/>
      <c r="Y839" s="900"/>
      <c r="Z839" s="900"/>
    </row>
    <row r="840" spans="1:26">
      <c r="A840" s="900"/>
      <c r="B840" s="920"/>
      <c r="C840" s="920"/>
      <c r="D840" s="920"/>
      <c r="E840" s="920"/>
      <c r="F840" s="920"/>
      <c r="G840" s="920"/>
      <c r="V840" s="920"/>
      <c r="W840" s="920"/>
      <c r="X840" s="900"/>
      <c r="Y840" s="900"/>
      <c r="Z840" s="900"/>
    </row>
    <row r="841" spans="1:26">
      <c r="A841" s="900"/>
      <c r="B841" s="920"/>
      <c r="C841" s="920"/>
      <c r="D841" s="920"/>
      <c r="E841" s="920"/>
      <c r="F841" s="920"/>
      <c r="G841" s="920"/>
      <c r="V841" s="920"/>
      <c r="W841" s="920"/>
      <c r="X841" s="900"/>
      <c r="Y841" s="900"/>
      <c r="Z841" s="900"/>
    </row>
    <row r="842" spans="1:26">
      <c r="A842" s="900"/>
      <c r="B842" s="920"/>
      <c r="C842" s="920"/>
      <c r="D842" s="920"/>
      <c r="E842" s="920"/>
      <c r="F842" s="920"/>
      <c r="G842" s="920"/>
      <c r="V842" s="920"/>
      <c r="W842" s="920"/>
      <c r="X842" s="900"/>
      <c r="Y842" s="900"/>
      <c r="Z842" s="900"/>
    </row>
    <row r="843" spans="1:26">
      <c r="A843" s="900"/>
      <c r="B843" s="920"/>
      <c r="C843" s="920"/>
      <c r="D843" s="920"/>
      <c r="E843" s="920"/>
      <c r="F843" s="920"/>
      <c r="G843" s="920"/>
      <c r="V843" s="920"/>
      <c r="W843" s="920"/>
      <c r="X843" s="900"/>
      <c r="Y843" s="900"/>
      <c r="Z843" s="900"/>
    </row>
    <row r="844" spans="1:26">
      <c r="A844" s="900"/>
      <c r="B844" s="920"/>
      <c r="C844" s="920"/>
      <c r="D844" s="920"/>
      <c r="E844" s="920"/>
      <c r="F844" s="920"/>
      <c r="G844" s="920"/>
      <c r="V844" s="920"/>
      <c r="W844" s="920"/>
      <c r="X844" s="900"/>
      <c r="Y844" s="900"/>
      <c r="Z844" s="900"/>
    </row>
    <row r="845" spans="1:26">
      <c r="A845" s="900"/>
      <c r="B845" s="920"/>
      <c r="C845" s="920"/>
      <c r="D845" s="920"/>
      <c r="E845" s="920"/>
      <c r="F845" s="920"/>
      <c r="G845" s="920"/>
      <c r="V845" s="920"/>
      <c r="W845" s="920"/>
      <c r="X845" s="900"/>
      <c r="Y845" s="900"/>
      <c r="Z845" s="900"/>
    </row>
    <row r="846" spans="1:26">
      <c r="A846" s="900"/>
      <c r="B846" s="920"/>
      <c r="C846" s="920"/>
      <c r="D846" s="920"/>
      <c r="E846" s="920"/>
      <c r="F846" s="920"/>
      <c r="G846" s="920"/>
      <c r="V846" s="920"/>
      <c r="W846" s="920"/>
      <c r="X846" s="900"/>
      <c r="Y846" s="900"/>
      <c r="Z846" s="900"/>
    </row>
    <row r="847" spans="1:26">
      <c r="A847" s="900"/>
      <c r="B847" s="920"/>
      <c r="C847" s="920"/>
      <c r="D847" s="920"/>
      <c r="E847" s="920"/>
      <c r="F847" s="920"/>
      <c r="G847" s="920"/>
      <c r="V847" s="920"/>
      <c r="W847" s="920"/>
      <c r="X847" s="900"/>
      <c r="Y847" s="900"/>
      <c r="Z847" s="900"/>
    </row>
    <row r="848" spans="1:26">
      <c r="A848" s="900"/>
      <c r="B848" s="920"/>
      <c r="C848" s="920"/>
      <c r="D848" s="920"/>
      <c r="E848" s="920"/>
      <c r="F848" s="920"/>
      <c r="G848" s="920"/>
      <c r="V848" s="920"/>
      <c r="W848" s="920"/>
      <c r="X848" s="900"/>
      <c r="Y848" s="900"/>
      <c r="Z848" s="900"/>
    </row>
    <row r="849" spans="1:26">
      <c r="A849" s="900"/>
      <c r="B849" s="920"/>
      <c r="C849" s="920"/>
      <c r="D849" s="920"/>
      <c r="E849" s="920"/>
      <c r="F849" s="920"/>
      <c r="G849" s="920"/>
      <c r="V849" s="920"/>
      <c r="W849" s="920"/>
      <c r="X849" s="900"/>
      <c r="Y849" s="900"/>
      <c r="Z849" s="900"/>
    </row>
    <row r="850" spans="1:26">
      <c r="A850" s="900"/>
      <c r="B850" s="920"/>
      <c r="C850" s="920"/>
      <c r="D850" s="920"/>
      <c r="E850" s="920"/>
      <c r="F850" s="920"/>
      <c r="G850" s="920"/>
      <c r="V850" s="920"/>
      <c r="W850" s="920"/>
      <c r="X850" s="900"/>
      <c r="Y850" s="900"/>
      <c r="Z850" s="900"/>
    </row>
    <row r="851" spans="1:26">
      <c r="A851" s="900"/>
      <c r="B851" s="920"/>
      <c r="C851" s="920"/>
      <c r="D851" s="920"/>
      <c r="E851" s="920"/>
      <c r="F851" s="920"/>
      <c r="G851" s="920"/>
      <c r="V851" s="920"/>
      <c r="W851" s="920"/>
      <c r="X851" s="900"/>
      <c r="Y851" s="900"/>
      <c r="Z851" s="900"/>
    </row>
    <row r="852" spans="1:26">
      <c r="A852" s="900"/>
      <c r="B852" s="920"/>
      <c r="C852" s="920"/>
      <c r="D852" s="920"/>
      <c r="E852" s="920"/>
      <c r="F852" s="920"/>
      <c r="G852" s="920"/>
      <c r="V852" s="920"/>
      <c r="W852" s="920"/>
      <c r="X852" s="900"/>
      <c r="Y852" s="900"/>
      <c r="Z852" s="900"/>
    </row>
    <row r="853" spans="1:26">
      <c r="A853" s="900"/>
      <c r="B853" s="920"/>
      <c r="C853" s="920"/>
      <c r="D853" s="920"/>
      <c r="E853" s="920"/>
      <c r="F853" s="920"/>
      <c r="G853" s="920"/>
      <c r="V853" s="920"/>
      <c r="W853" s="920"/>
      <c r="X853" s="900"/>
      <c r="Y853" s="900"/>
      <c r="Z853" s="900"/>
    </row>
    <row r="854" spans="1:26">
      <c r="A854" s="900"/>
      <c r="B854" s="920"/>
      <c r="C854" s="920"/>
      <c r="D854" s="920"/>
      <c r="E854" s="920"/>
      <c r="F854" s="920"/>
      <c r="G854" s="920"/>
      <c r="V854" s="920"/>
      <c r="W854" s="920"/>
      <c r="X854" s="900"/>
      <c r="Y854" s="900"/>
      <c r="Z854" s="900"/>
    </row>
    <row r="855" spans="1:26">
      <c r="A855" s="900"/>
      <c r="B855" s="920"/>
      <c r="C855" s="920"/>
      <c r="D855" s="920"/>
      <c r="E855" s="920"/>
      <c r="F855" s="920"/>
      <c r="G855" s="920"/>
      <c r="V855" s="920"/>
      <c r="W855" s="920"/>
      <c r="X855" s="900"/>
      <c r="Y855" s="900"/>
      <c r="Z855" s="900"/>
    </row>
    <row r="856" spans="1:26">
      <c r="A856" s="900"/>
      <c r="B856" s="920"/>
      <c r="C856" s="920"/>
      <c r="D856" s="920"/>
      <c r="E856" s="920"/>
      <c r="F856" s="920"/>
      <c r="G856" s="920"/>
      <c r="V856" s="920"/>
      <c r="W856" s="920"/>
      <c r="X856" s="900"/>
      <c r="Y856" s="900"/>
      <c r="Z856" s="900"/>
    </row>
    <row r="857" spans="1:26">
      <c r="A857" s="900"/>
      <c r="B857" s="920"/>
      <c r="C857" s="920"/>
      <c r="D857" s="920"/>
      <c r="E857" s="920"/>
      <c r="F857" s="920"/>
      <c r="G857" s="920"/>
      <c r="V857" s="920"/>
      <c r="W857" s="920"/>
      <c r="X857" s="900"/>
      <c r="Y857" s="900"/>
      <c r="Z857" s="900"/>
    </row>
    <row r="858" spans="1:26">
      <c r="A858" s="900"/>
      <c r="B858" s="920"/>
      <c r="C858" s="920"/>
      <c r="D858" s="920"/>
      <c r="E858" s="920"/>
      <c r="F858" s="920"/>
      <c r="G858" s="920"/>
      <c r="V858" s="920"/>
      <c r="W858" s="920"/>
      <c r="X858" s="900"/>
      <c r="Y858" s="900"/>
      <c r="Z858" s="900"/>
    </row>
    <row r="859" spans="1:26">
      <c r="A859" s="900"/>
      <c r="B859" s="920"/>
      <c r="C859" s="920"/>
      <c r="D859" s="920"/>
      <c r="E859" s="920"/>
      <c r="F859" s="920"/>
      <c r="G859" s="920"/>
      <c r="V859" s="920"/>
      <c r="W859" s="920"/>
      <c r="X859" s="900"/>
      <c r="Y859" s="900"/>
      <c r="Z859" s="900"/>
    </row>
    <row r="860" spans="1:26">
      <c r="A860" s="900"/>
      <c r="B860" s="920"/>
      <c r="C860" s="920"/>
      <c r="D860" s="920"/>
      <c r="E860" s="920"/>
      <c r="F860" s="920"/>
      <c r="G860" s="920"/>
      <c r="V860" s="920"/>
      <c r="W860" s="920"/>
      <c r="X860" s="900"/>
      <c r="Y860" s="900"/>
      <c r="Z860" s="900"/>
    </row>
    <row r="861" spans="1:26">
      <c r="A861" s="900"/>
      <c r="B861" s="920"/>
      <c r="C861" s="920"/>
      <c r="D861" s="920"/>
      <c r="E861" s="920"/>
      <c r="F861" s="920"/>
      <c r="G861" s="920"/>
      <c r="V861" s="920"/>
      <c r="W861" s="920"/>
      <c r="X861" s="900"/>
      <c r="Y861" s="900"/>
      <c r="Z861" s="900"/>
    </row>
    <row r="862" spans="1:26">
      <c r="A862" s="900"/>
      <c r="B862" s="920"/>
      <c r="C862" s="920"/>
      <c r="D862" s="920"/>
      <c r="E862" s="920"/>
      <c r="F862" s="920"/>
      <c r="G862" s="920"/>
      <c r="V862" s="920"/>
      <c r="W862" s="920"/>
      <c r="X862" s="900"/>
      <c r="Y862" s="900"/>
      <c r="Z862" s="900"/>
    </row>
    <row r="863" spans="1:26">
      <c r="A863" s="900"/>
      <c r="B863" s="920"/>
      <c r="C863" s="920"/>
      <c r="D863" s="920"/>
      <c r="E863" s="920"/>
      <c r="F863" s="920"/>
      <c r="G863" s="920"/>
      <c r="V863" s="920"/>
      <c r="W863" s="920"/>
      <c r="X863" s="900"/>
      <c r="Y863" s="900"/>
      <c r="Z863" s="900"/>
    </row>
    <row r="864" spans="1:26">
      <c r="A864" s="900"/>
      <c r="B864" s="920"/>
      <c r="C864" s="920"/>
      <c r="D864" s="920"/>
      <c r="E864" s="920"/>
      <c r="F864" s="920"/>
      <c r="G864" s="920"/>
      <c r="V864" s="920"/>
      <c r="W864" s="920"/>
      <c r="X864" s="900"/>
      <c r="Y864" s="900"/>
      <c r="Z864" s="900"/>
    </row>
    <row r="865" spans="1:26">
      <c r="A865" s="900"/>
      <c r="B865" s="920"/>
      <c r="C865" s="920"/>
      <c r="D865" s="920"/>
      <c r="E865" s="920"/>
      <c r="F865" s="920"/>
      <c r="G865" s="920"/>
      <c r="V865" s="920"/>
      <c r="W865" s="920"/>
      <c r="X865" s="900"/>
      <c r="Y865" s="900"/>
      <c r="Z865" s="900"/>
    </row>
    <row r="866" spans="1:26">
      <c r="A866" s="900"/>
      <c r="B866" s="920"/>
      <c r="C866" s="920"/>
      <c r="D866" s="920"/>
      <c r="E866" s="920"/>
      <c r="F866" s="920"/>
      <c r="G866" s="920"/>
      <c r="V866" s="920"/>
      <c r="W866" s="920"/>
      <c r="X866" s="900"/>
      <c r="Y866" s="900"/>
      <c r="Z866" s="900"/>
    </row>
    <row r="867" spans="1:26">
      <c r="A867" s="900"/>
      <c r="B867" s="920"/>
      <c r="C867" s="920"/>
      <c r="D867" s="920"/>
      <c r="E867" s="920"/>
      <c r="F867" s="920"/>
      <c r="G867" s="920"/>
      <c r="V867" s="920"/>
      <c r="W867" s="920"/>
      <c r="X867" s="900"/>
      <c r="Y867" s="900"/>
      <c r="Z867" s="900"/>
    </row>
    <row r="868" spans="1:26">
      <c r="A868" s="900"/>
      <c r="B868" s="920"/>
      <c r="C868" s="920"/>
      <c r="D868" s="920"/>
      <c r="E868" s="920"/>
      <c r="F868" s="920"/>
      <c r="G868" s="920"/>
      <c r="V868" s="920"/>
      <c r="W868" s="920"/>
      <c r="X868" s="900"/>
      <c r="Y868" s="900"/>
      <c r="Z868" s="900"/>
    </row>
    <row r="869" spans="1:26">
      <c r="A869" s="900"/>
      <c r="B869" s="920"/>
      <c r="C869" s="920"/>
      <c r="D869" s="920"/>
      <c r="E869" s="920"/>
      <c r="F869" s="920"/>
      <c r="G869" s="920"/>
      <c r="V869" s="920"/>
      <c r="W869" s="920"/>
      <c r="X869" s="900"/>
      <c r="Y869" s="900"/>
      <c r="Z869" s="900"/>
    </row>
    <row r="870" spans="1:26">
      <c r="A870" s="900"/>
      <c r="B870" s="920"/>
      <c r="C870" s="920"/>
      <c r="D870" s="920"/>
      <c r="E870" s="920"/>
      <c r="F870" s="920"/>
      <c r="G870" s="920"/>
      <c r="V870" s="920"/>
      <c r="W870" s="920"/>
      <c r="X870" s="900"/>
      <c r="Y870" s="900"/>
      <c r="Z870" s="900"/>
    </row>
    <row r="871" spans="1:26">
      <c r="A871" s="900"/>
      <c r="B871" s="920"/>
      <c r="C871" s="920"/>
      <c r="D871" s="920"/>
      <c r="E871" s="920"/>
      <c r="F871" s="920"/>
      <c r="G871" s="920"/>
      <c r="V871" s="920"/>
      <c r="W871" s="920"/>
      <c r="X871" s="900"/>
      <c r="Y871" s="900"/>
      <c r="Z871" s="900"/>
    </row>
    <row r="872" spans="1:26">
      <c r="A872" s="900"/>
      <c r="B872" s="920"/>
      <c r="C872" s="920"/>
      <c r="D872" s="920"/>
      <c r="E872" s="920"/>
      <c r="F872" s="920"/>
      <c r="G872" s="920"/>
      <c r="V872" s="920"/>
      <c r="W872" s="920"/>
      <c r="X872" s="900"/>
      <c r="Y872" s="900"/>
      <c r="Z872" s="900"/>
    </row>
    <row r="873" spans="1:26">
      <c r="A873" s="900"/>
      <c r="B873" s="920"/>
      <c r="C873" s="920"/>
      <c r="D873" s="920"/>
      <c r="E873" s="920"/>
      <c r="F873" s="920"/>
      <c r="G873" s="920"/>
      <c r="V873" s="920"/>
      <c r="W873" s="920"/>
      <c r="X873" s="900"/>
      <c r="Y873" s="900"/>
      <c r="Z873" s="900"/>
    </row>
    <row r="874" spans="1:26">
      <c r="A874" s="900"/>
      <c r="B874" s="920"/>
      <c r="C874" s="920"/>
      <c r="D874" s="920"/>
      <c r="E874" s="920"/>
      <c r="F874" s="920"/>
      <c r="G874" s="920"/>
      <c r="V874" s="920"/>
      <c r="W874" s="920"/>
      <c r="X874" s="900"/>
      <c r="Y874" s="900"/>
      <c r="Z874" s="900"/>
    </row>
    <row r="875" spans="1:26">
      <c r="A875" s="900"/>
      <c r="B875" s="920"/>
      <c r="C875" s="920"/>
      <c r="D875" s="920"/>
      <c r="E875" s="920"/>
      <c r="F875" s="920"/>
      <c r="G875" s="920"/>
      <c r="V875" s="920"/>
      <c r="W875" s="920"/>
      <c r="X875" s="900"/>
      <c r="Y875" s="900"/>
      <c r="Z875" s="900"/>
    </row>
    <row r="876" spans="1:26">
      <c r="A876" s="900"/>
      <c r="B876" s="920"/>
      <c r="C876" s="920"/>
      <c r="D876" s="920"/>
      <c r="E876" s="920"/>
      <c r="F876" s="920"/>
      <c r="G876" s="920"/>
      <c r="V876" s="920"/>
      <c r="W876" s="920"/>
      <c r="X876" s="900"/>
      <c r="Y876" s="900"/>
      <c r="Z876" s="900"/>
    </row>
    <row r="877" spans="1:26">
      <c r="A877" s="900"/>
      <c r="B877" s="920"/>
      <c r="C877" s="920"/>
      <c r="D877" s="920"/>
      <c r="E877" s="920"/>
      <c r="F877" s="920"/>
      <c r="G877" s="920"/>
      <c r="V877" s="920"/>
      <c r="W877" s="920"/>
      <c r="X877" s="900"/>
      <c r="Y877" s="900"/>
      <c r="Z877" s="900"/>
    </row>
    <row r="878" spans="1:26">
      <c r="A878" s="900"/>
      <c r="B878" s="920"/>
      <c r="C878" s="920"/>
      <c r="D878" s="920"/>
      <c r="E878" s="920"/>
      <c r="F878" s="920"/>
      <c r="G878" s="920"/>
      <c r="V878" s="920"/>
      <c r="W878" s="920"/>
      <c r="X878" s="900"/>
      <c r="Y878" s="900"/>
      <c r="Z878" s="900"/>
    </row>
    <row r="879" spans="1:26">
      <c r="A879" s="900"/>
      <c r="B879" s="920"/>
      <c r="C879" s="920"/>
      <c r="D879" s="920"/>
      <c r="E879" s="920"/>
      <c r="F879" s="920"/>
      <c r="G879" s="920"/>
      <c r="V879" s="920"/>
      <c r="W879" s="920"/>
      <c r="X879" s="900"/>
      <c r="Y879" s="900"/>
      <c r="Z879" s="900"/>
    </row>
    <row r="880" spans="1:26">
      <c r="A880" s="900"/>
      <c r="B880" s="920"/>
      <c r="C880" s="920"/>
      <c r="D880" s="920"/>
      <c r="E880" s="920"/>
      <c r="F880" s="920"/>
      <c r="G880" s="920"/>
      <c r="V880" s="920"/>
      <c r="W880" s="920"/>
      <c r="X880" s="900"/>
      <c r="Y880" s="900"/>
      <c r="Z880" s="900"/>
    </row>
    <row r="881" spans="1:26">
      <c r="A881" s="900"/>
      <c r="B881" s="920"/>
      <c r="C881" s="920"/>
      <c r="D881" s="920"/>
      <c r="E881" s="920"/>
      <c r="F881" s="920"/>
      <c r="G881" s="920"/>
      <c r="V881" s="920"/>
      <c r="W881" s="920"/>
      <c r="X881" s="900"/>
      <c r="Y881" s="900"/>
      <c r="Z881" s="900"/>
    </row>
    <row r="882" spans="1:26">
      <c r="A882" s="900"/>
      <c r="B882" s="920"/>
      <c r="C882" s="920"/>
      <c r="D882" s="920"/>
      <c r="E882" s="920"/>
      <c r="F882" s="920"/>
      <c r="G882" s="920"/>
      <c r="V882" s="920"/>
      <c r="W882" s="920"/>
      <c r="X882" s="900"/>
      <c r="Y882" s="900"/>
      <c r="Z882" s="900"/>
    </row>
    <row r="883" spans="1:26">
      <c r="A883" s="900"/>
      <c r="B883" s="920"/>
      <c r="C883" s="920"/>
      <c r="D883" s="920"/>
      <c r="E883" s="920"/>
      <c r="F883" s="920"/>
      <c r="G883" s="920"/>
      <c r="V883" s="920"/>
      <c r="W883" s="920"/>
      <c r="X883" s="900"/>
      <c r="Y883" s="900"/>
      <c r="Z883" s="900"/>
    </row>
    <row r="884" spans="1:26">
      <c r="A884" s="900"/>
      <c r="B884" s="920"/>
      <c r="C884" s="920"/>
      <c r="D884" s="920"/>
      <c r="E884" s="920"/>
      <c r="F884" s="920"/>
      <c r="G884" s="920"/>
      <c r="V884" s="920"/>
      <c r="W884" s="920"/>
      <c r="X884" s="900"/>
      <c r="Y884" s="900"/>
      <c r="Z884" s="900"/>
    </row>
    <row r="885" spans="1:26">
      <c r="A885" s="900"/>
      <c r="B885" s="920"/>
      <c r="C885" s="920"/>
      <c r="D885" s="920"/>
      <c r="E885" s="920"/>
      <c r="F885" s="920"/>
      <c r="G885" s="920"/>
      <c r="V885" s="920"/>
      <c r="W885" s="920"/>
      <c r="X885" s="900"/>
      <c r="Y885" s="900"/>
      <c r="Z885" s="900"/>
    </row>
    <row r="886" spans="1:26">
      <c r="A886" s="900"/>
      <c r="B886" s="920"/>
      <c r="C886" s="920"/>
      <c r="D886" s="920"/>
      <c r="E886" s="920"/>
      <c r="F886" s="920"/>
      <c r="G886" s="920"/>
      <c r="V886" s="920"/>
      <c r="W886" s="920"/>
      <c r="X886" s="900"/>
      <c r="Y886" s="900"/>
      <c r="Z886" s="900"/>
    </row>
    <row r="887" spans="1:26">
      <c r="A887" s="900"/>
      <c r="B887" s="920"/>
      <c r="C887" s="920"/>
      <c r="D887" s="920"/>
      <c r="E887" s="920"/>
      <c r="F887" s="920"/>
      <c r="G887" s="920"/>
      <c r="V887" s="920"/>
      <c r="W887" s="920"/>
      <c r="X887" s="900"/>
      <c r="Y887" s="900"/>
      <c r="Z887" s="900"/>
    </row>
    <row r="888" spans="1:26">
      <c r="A888" s="900"/>
      <c r="B888" s="920"/>
      <c r="C888" s="920"/>
      <c r="D888" s="920"/>
      <c r="E888" s="920"/>
      <c r="F888" s="920"/>
      <c r="G888" s="920"/>
      <c r="V888" s="920"/>
      <c r="W888" s="920"/>
      <c r="X888" s="900"/>
      <c r="Y888" s="900"/>
      <c r="Z888" s="900"/>
    </row>
    <row r="889" spans="1:26">
      <c r="A889" s="900"/>
      <c r="B889" s="920"/>
      <c r="C889" s="920"/>
      <c r="D889" s="920"/>
      <c r="E889" s="920"/>
      <c r="F889" s="920"/>
      <c r="G889" s="920"/>
      <c r="V889" s="920"/>
      <c r="W889" s="920"/>
      <c r="X889" s="900"/>
      <c r="Y889" s="900"/>
      <c r="Z889" s="900"/>
    </row>
    <row r="890" spans="1:26">
      <c r="A890" s="900"/>
      <c r="B890" s="920"/>
      <c r="C890" s="920"/>
      <c r="D890" s="920"/>
      <c r="E890" s="920"/>
      <c r="F890" s="920"/>
      <c r="G890" s="920"/>
      <c r="V890" s="920"/>
      <c r="W890" s="920"/>
      <c r="X890" s="900"/>
      <c r="Y890" s="900"/>
      <c r="Z890" s="900"/>
    </row>
    <row r="891" spans="1:26">
      <c r="A891" s="900"/>
      <c r="B891" s="920"/>
      <c r="C891" s="920"/>
      <c r="D891" s="920"/>
      <c r="E891" s="920"/>
      <c r="F891" s="920"/>
      <c r="G891" s="920"/>
      <c r="V891" s="920"/>
      <c r="W891" s="920"/>
      <c r="X891" s="900"/>
      <c r="Y891" s="900"/>
      <c r="Z891" s="900"/>
    </row>
    <row r="892" spans="1:26">
      <c r="A892" s="900"/>
      <c r="B892" s="920"/>
      <c r="C892" s="920"/>
      <c r="D892" s="920"/>
      <c r="E892" s="920"/>
      <c r="F892" s="920"/>
      <c r="G892" s="920"/>
      <c r="V892" s="920"/>
      <c r="W892" s="920"/>
      <c r="X892" s="900"/>
      <c r="Y892" s="900"/>
      <c r="Z892" s="900"/>
    </row>
    <row r="893" spans="1:26">
      <c r="A893" s="900"/>
      <c r="B893" s="920"/>
      <c r="C893" s="920"/>
      <c r="D893" s="920"/>
      <c r="E893" s="920"/>
      <c r="F893" s="920"/>
      <c r="G893" s="920"/>
      <c r="V893" s="920"/>
      <c r="W893" s="920"/>
      <c r="X893" s="900"/>
      <c r="Y893" s="900"/>
      <c r="Z893" s="900"/>
    </row>
    <row r="894" spans="1:26">
      <c r="A894" s="900"/>
      <c r="B894" s="920"/>
      <c r="C894" s="920"/>
      <c r="D894" s="920"/>
      <c r="E894" s="920"/>
      <c r="F894" s="920"/>
      <c r="G894" s="920"/>
      <c r="V894" s="920"/>
      <c r="W894" s="920"/>
      <c r="X894" s="900"/>
      <c r="Y894" s="900"/>
      <c r="Z894" s="900"/>
    </row>
    <row r="895" spans="1:26">
      <c r="A895" s="900"/>
      <c r="B895" s="920"/>
      <c r="C895" s="920"/>
      <c r="D895" s="920"/>
      <c r="E895" s="920"/>
      <c r="F895" s="920"/>
      <c r="G895" s="920"/>
      <c r="V895" s="920"/>
      <c r="W895" s="920"/>
      <c r="X895" s="900"/>
      <c r="Y895" s="900"/>
      <c r="Z895" s="900"/>
    </row>
    <row r="896" spans="1:26">
      <c r="A896" s="900"/>
      <c r="B896" s="920"/>
      <c r="C896" s="920"/>
      <c r="D896" s="920"/>
      <c r="E896" s="920"/>
      <c r="F896" s="920"/>
      <c r="G896" s="920"/>
      <c r="V896" s="920"/>
      <c r="W896" s="920"/>
      <c r="X896" s="900"/>
      <c r="Y896" s="900"/>
      <c r="Z896" s="900"/>
    </row>
    <row r="897" spans="1:26">
      <c r="A897" s="900"/>
      <c r="B897" s="920"/>
      <c r="C897" s="920"/>
      <c r="D897" s="920"/>
      <c r="E897" s="920"/>
      <c r="F897" s="920"/>
      <c r="G897" s="920"/>
      <c r="V897" s="920"/>
      <c r="W897" s="920"/>
      <c r="X897" s="900"/>
      <c r="Y897" s="900"/>
      <c r="Z897" s="900"/>
    </row>
    <row r="898" spans="1:26">
      <c r="A898" s="900"/>
      <c r="B898" s="920"/>
      <c r="C898" s="920"/>
      <c r="D898" s="920"/>
      <c r="E898" s="920"/>
      <c r="F898" s="920"/>
      <c r="G898" s="920"/>
      <c r="V898" s="920"/>
      <c r="W898" s="920"/>
      <c r="X898" s="900"/>
      <c r="Y898" s="900"/>
      <c r="Z898" s="900"/>
    </row>
    <row r="899" spans="1:26">
      <c r="A899" s="900"/>
      <c r="B899" s="920"/>
      <c r="C899" s="920"/>
      <c r="D899" s="920"/>
      <c r="E899" s="920"/>
      <c r="F899" s="920"/>
      <c r="G899" s="920"/>
      <c r="V899" s="920"/>
      <c r="W899" s="920"/>
      <c r="X899" s="900"/>
      <c r="Y899" s="900"/>
      <c r="Z899" s="900"/>
    </row>
    <row r="900" spans="1:26">
      <c r="A900" s="900"/>
      <c r="B900" s="920"/>
      <c r="C900" s="920"/>
      <c r="D900" s="920"/>
      <c r="E900" s="920"/>
      <c r="F900" s="920"/>
      <c r="G900" s="920"/>
      <c r="V900" s="920"/>
      <c r="W900" s="920"/>
      <c r="X900" s="900"/>
      <c r="Y900" s="900"/>
      <c r="Z900" s="900"/>
    </row>
    <row r="901" spans="1:26">
      <c r="A901" s="900"/>
      <c r="B901" s="920"/>
      <c r="C901" s="920"/>
      <c r="D901" s="920"/>
      <c r="E901" s="920"/>
      <c r="F901" s="920"/>
      <c r="G901" s="920"/>
      <c r="V901" s="920"/>
      <c r="W901" s="920"/>
      <c r="X901" s="900"/>
      <c r="Y901" s="900"/>
      <c r="Z901" s="900"/>
    </row>
    <row r="902" spans="1:26">
      <c r="A902" s="900"/>
      <c r="B902" s="920"/>
      <c r="C902" s="920"/>
      <c r="D902" s="920"/>
      <c r="E902" s="920"/>
      <c r="F902" s="920"/>
      <c r="G902" s="920"/>
      <c r="V902" s="920"/>
      <c r="W902" s="920"/>
      <c r="X902" s="900"/>
      <c r="Y902" s="900"/>
      <c r="Z902" s="900"/>
    </row>
    <row r="903" spans="1:26">
      <c r="A903" s="900"/>
      <c r="B903" s="920"/>
      <c r="C903" s="920"/>
      <c r="D903" s="920"/>
      <c r="E903" s="920"/>
      <c r="F903" s="920"/>
      <c r="G903" s="920"/>
      <c r="V903" s="920"/>
      <c r="W903" s="920"/>
      <c r="X903" s="900"/>
      <c r="Y903" s="900"/>
      <c r="Z903" s="900"/>
    </row>
    <row r="904" spans="1:26">
      <c r="A904" s="900"/>
      <c r="B904" s="920"/>
      <c r="C904" s="920"/>
      <c r="D904" s="920"/>
      <c r="E904" s="920"/>
      <c r="F904" s="920"/>
      <c r="G904" s="920"/>
      <c r="V904" s="920"/>
      <c r="W904" s="920"/>
      <c r="X904" s="900"/>
      <c r="Y904" s="900"/>
      <c r="Z904" s="900"/>
    </row>
    <row r="905" spans="1:26">
      <c r="A905" s="900"/>
      <c r="B905" s="920"/>
      <c r="C905" s="920"/>
      <c r="D905" s="920"/>
      <c r="E905" s="920"/>
      <c r="F905" s="920"/>
      <c r="G905" s="920"/>
      <c r="V905" s="920"/>
      <c r="W905" s="920"/>
      <c r="X905" s="900"/>
      <c r="Y905" s="900"/>
      <c r="Z905" s="900"/>
    </row>
    <row r="906" spans="1:26">
      <c r="A906" s="900"/>
      <c r="B906" s="920"/>
      <c r="C906" s="920"/>
      <c r="D906" s="920"/>
      <c r="E906" s="920"/>
      <c r="F906" s="920"/>
      <c r="G906" s="920"/>
      <c r="V906" s="920"/>
      <c r="W906" s="920"/>
      <c r="X906" s="900"/>
      <c r="Y906" s="900"/>
      <c r="Z906" s="900"/>
    </row>
    <row r="907" spans="1:26">
      <c r="A907" s="900"/>
      <c r="B907" s="920"/>
      <c r="C907" s="920"/>
      <c r="D907" s="920"/>
      <c r="E907" s="920"/>
      <c r="F907" s="920"/>
      <c r="G907" s="920"/>
      <c r="V907" s="920"/>
      <c r="W907" s="920"/>
      <c r="X907" s="900"/>
      <c r="Y907" s="900"/>
      <c r="Z907" s="900"/>
    </row>
    <row r="908" spans="1:26">
      <c r="A908" s="900"/>
      <c r="B908" s="920"/>
      <c r="C908" s="920"/>
      <c r="D908" s="920"/>
      <c r="E908" s="920"/>
      <c r="F908" s="920"/>
      <c r="G908" s="920"/>
      <c r="V908" s="920"/>
      <c r="W908" s="920"/>
      <c r="X908" s="900"/>
      <c r="Y908" s="900"/>
      <c r="Z908" s="900"/>
    </row>
    <row r="909" spans="1:26">
      <c r="A909" s="900"/>
      <c r="B909" s="920"/>
      <c r="C909" s="920"/>
      <c r="D909" s="920"/>
      <c r="E909" s="920"/>
      <c r="F909" s="920"/>
      <c r="G909" s="920"/>
      <c r="V909" s="920"/>
      <c r="W909" s="920"/>
      <c r="X909" s="900"/>
      <c r="Y909" s="900"/>
      <c r="Z909" s="900"/>
    </row>
    <row r="910" spans="1:26">
      <c r="A910" s="900"/>
      <c r="B910" s="920"/>
      <c r="C910" s="920"/>
      <c r="D910" s="920"/>
      <c r="E910" s="920"/>
      <c r="F910" s="920"/>
      <c r="G910" s="920"/>
      <c r="V910" s="920"/>
      <c r="W910" s="920"/>
      <c r="X910" s="900"/>
      <c r="Y910" s="900"/>
      <c r="Z910" s="900"/>
    </row>
    <row r="911" spans="1:26">
      <c r="A911" s="900"/>
      <c r="B911" s="920"/>
      <c r="C911" s="920"/>
      <c r="D911" s="920"/>
      <c r="E911" s="920"/>
      <c r="F911" s="920"/>
      <c r="G911" s="920"/>
      <c r="V911" s="920"/>
      <c r="W911" s="920"/>
      <c r="X911" s="900"/>
      <c r="Y911" s="900"/>
      <c r="Z911" s="900"/>
    </row>
    <row r="912" spans="1:26">
      <c r="A912" s="900"/>
      <c r="B912" s="920"/>
      <c r="C912" s="920"/>
      <c r="D912" s="920"/>
      <c r="E912" s="920"/>
      <c r="F912" s="920"/>
      <c r="G912" s="920"/>
      <c r="V912" s="920"/>
      <c r="W912" s="920"/>
      <c r="X912" s="900"/>
      <c r="Y912" s="900"/>
      <c r="Z912" s="900"/>
    </row>
    <row r="913" spans="1:26">
      <c r="A913" s="900"/>
      <c r="B913" s="920"/>
      <c r="C913" s="920"/>
      <c r="D913" s="920"/>
      <c r="E913" s="920"/>
      <c r="F913" s="920"/>
      <c r="G913" s="920"/>
      <c r="V913" s="920"/>
      <c r="W913" s="920"/>
      <c r="X913" s="900"/>
      <c r="Y913" s="900"/>
      <c r="Z913" s="900"/>
    </row>
    <row r="914" spans="1:26">
      <c r="A914" s="900"/>
      <c r="B914" s="920"/>
      <c r="C914" s="920"/>
      <c r="D914" s="920"/>
      <c r="E914" s="920"/>
      <c r="F914" s="920"/>
      <c r="G914" s="920"/>
      <c r="V914" s="920"/>
      <c r="W914" s="920"/>
      <c r="X914" s="900"/>
      <c r="Y914" s="900"/>
      <c r="Z914" s="900"/>
    </row>
    <row r="915" spans="1:26">
      <c r="A915" s="900"/>
      <c r="B915" s="920"/>
      <c r="C915" s="920"/>
      <c r="D915" s="920"/>
      <c r="E915" s="920"/>
      <c r="F915" s="920"/>
      <c r="G915" s="920"/>
      <c r="V915" s="920"/>
      <c r="W915" s="920"/>
      <c r="X915" s="900"/>
      <c r="Y915" s="900"/>
      <c r="Z915" s="900"/>
    </row>
    <row r="916" spans="1:26">
      <c r="A916" s="900"/>
      <c r="B916" s="920"/>
      <c r="C916" s="920"/>
      <c r="D916" s="920"/>
      <c r="E916" s="920"/>
      <c r="F916" s="920"/>
      <c r="G916" s="920"/>
      <c r="V916" s="920"/>
      <c r="W916" s="920"/>
      <c r="X916" s="900"/>
      <c r="Y916" s="900"/>
      <c r="Z916" s="900"/>
    </row>
    <row r="917" spans="1:26">
      <c r="A917" s="900"/>
      <c r="B917" s="920"/>
      <c r="C917" s="920"/>
      <c r="D917" s="920"/>
      <c r="E917" s="920"/>
      <c r="F917" s="920"/>
      <c r="G917" s="920"/>
      <c r="V917" s="920"/>
      <c r="W917" s="920"/>
      <c r="X917" s="900"/>
      <c r="Y917" s="900"/>
      <c r="Z917" s="900"/>
    </row>
    <row r="918" spans="1:26">
      <c r="A918" s="900"/>
      <c r="B918" s="920"/>
      <c r="C918" s="920"/>
      <c r="D918" s="920"/>
      <c r="E918" s="920"/>
      <c r="F918" s="920"/>
      <c r="G918" s="920"/>
      <c r="V918" s="920"/>
      <c r="W918" s="920"/>
      <c r="X918" s="900"/>
      <c r="Y918" s="900"/>
      <c r="Z918" s="900"/>
    </row>
    <row r="919" spans="1:26">
      <c r="A919" s="900"/>
      <c r="B919" s="920"/>
      <c r="C919" s="920"/>
      <c r="D919" s="920"/>
      <c r="E919" s="920"/>
      <c r="F919" s="920"/>
      <c r="G919" s="920"/>
      <c r="V919" s="920"/>
      <c r="W919" s="920"/>
      <c r="X919" s="900"/>
      <c r="Y919" s="900"/>
      <c r="Z919" s="900"/>
    </row>
    <row r="920" spans="1:26">
      <c r="A920" s="900"/>
      <c r="B920" s="920"/>
      <c r="C920" s="920"/>
      <c r="D920" s="920"/>
      <c r="E920" s="920"/>
      <c r="F920" s="920"/>
      <c r="G920" s="920"/>
      <c r="V920" s="920"/>
      <c r="W920" s="920"/>
      <c r="X920" s="900"/>
      <c r="Y920" s="900"/>
      <c r="Z920" s="900"/>
    </row>
    <row r="921" spans="1:26">
      <c r="A921" s="900"/>
      <c r="B921" s="920"/>
      <c r="C921" s="920"/>
      <c r="D921" s="920"/>
      <c r="E921" s="920"/>
      <c r="F921" s="920"/>
      <c r="G921" s="920"/>
      <c r="V921" s="920"/>
      <c r="W921" s="920"/>
      <c r="X921" s="900"/>
      <c r="Y921" s="900"/>
      <c r="Z921" s="900"/>
    </row>
    <row r="922" spans="1:26">
      <c r="A922" s="900"/>
      <c r="B922" s="920"/>
      <c r="C922" s="920"/>
      <c r="D922" s="920"/>
      <c r="E922" s="920"/>
      <c r="F922" s="920"/>
      <c r="G922" s="920"/>
      <c r="V922" s="920"/>
      <c r="W922" s="920"/>
      <c r="X922" s="900"/>
      <c r="Y922" s="900"/>
      <c r="Z922" s="900"/>
    </row>
    <row r="923" spans="1:26">
      <c r="A923" s="900"/>
      <c r="B923" s="920"/>
      <c r="C923" s="920"/>
      <c r="D923" s="920"/>
      <c r="E923" s="920"/>
      <c r="F923" s="920"/>
      <c r="G923" s="920"/>
      <c r="V923" s="920"/>
      <c r="W923" s="920"/>
      <c r="X923" s="900"/>
      <c r="Y923" s="900"/>
      <c r="Z923" s="900"/>
    </row>
    <row r="924" spans="1:26">
      <c r="A924" s="900"/>
      <c r="B924" s="920"/>
      <c r="C924" s="920"/>
      <c r="D924" s="920"/>
      <c r="E924" s="920"/>
      <c r="F924" s="920"/>
      <c r="G924" s="920"/>
      <c r="V924" s="920"/>
      <c r="W924" s="920"/>
      <c r="X924" s="900"/>
      <c r="Y924" s="900"/>
      <c r="Z924" s="900"/>
    </row>
    <row r="925" spans="1:26">
      <c r="A925" s="900"/>
      <c r="B925" s="920"/>
      <c r="C925" s="920"/>
      <c r="D925" s="920"/>
      <c r="E925" s="920"/>
      <c r="F925" s="920"/>
      <c r="G925" s="920"/>
      <c r="V925" s="920"/>
      <c r="W925" s="920"/>
      <c r="X925" s="900"/>
      <c r="Y925" s="900"/>
      <c r="Z925" s="900"/>
    </row>
    <row r="926" spans="1:26">
      <c r="A926" s="900"/>
      <c r="B926" s="920"/>
      <c r="C926" s="920"/>
      <c r="D926" s="920"/>
      <c r="E926" s="920"/>
      <c r="F926" s="920"/>
      <c r="G926" s="920"/>
      <c r="V926" s="920"/>
      <c r="W926" s="920"/>
      <c r="X926" s="900"/>
      <c r="Y926" s="900"/>
      <c r="Z926" s="900"/>
    </row>
    <row r="927" spans="1:26">
      <c r="A927" s="900"/>
      <c r="B927" s="920"/>
      <c r="C927" s="920"/>
      <c r="D927" s="920"/>
      <c r="E927" s="920"/>
      <c r="F927" s="920"/>
      <c r="G927" s="920"/>
      <c r="V927" s="920"/>
      <c r="W927" s="920"/>
      <c r="X927" s="900"/>
      <c r="Y927" s="900"/>
      <c r="Z927" s="900"/>
    </row>
    <row r="928" spans="1:26">
      <c r="A928" s="900"/>
      <c r="B928" s="920"/>
      <c r="C928" s="920"/>
      <c r="D928" s="920"/>
      <c r="E928" s="920"/>
      <c r="F928" s="920"/>
      <c r="G928" s="920"/>
      <c r="V928" s="920"/>
      <c r="W928" s="920"/>
      <c r="X928" s="900"/>
      <c r="Y928" s="900"/>
      <c r="Z928" s="900"/>
    </row>
    <row r="929" spans="1:26">
      <c r="A929" s="900"/>
      <c r="B929" s="920"/>
      <c r="C929" s="920"/>
      <c r="D929" s="920"/>
      <c r="E929" s="920"/>
      <c r="F929" s="920"/>
      <c r="G929" s="920"/>
      <c r="V929" s="920"/>
      <c r="W929" s="920"/>
      <c r="X929" s="900"/>
      <c r="Y929" s="900"/>
      <c r="Z929" s="900"/>
    </row>
    <row r="930" spans="1:26">
      <c r="A930" s="900"/>
      <c r="B930" s="920"/>
      <c r="C930" s="920"/>
      <c r="D930" s="920"/>
      <c r="E930" s="920"/>
      <c r="F930" s="920"/>
      <c r="G930" s="920"/>
      <c r="V930" s="920"/>
      <c r="W930" s="920"/>
      <c r="X930" s="900"/>
      <c r="Y930" s="900"/>
      <c r="Z930" s="900"/>
    </row>
    <row r="931" spans="1:26">
      <c r="A931" s="900"/>
      <c r="B931" s="920"/>
      <c r="C931" s="920"/>
      <c r="D931" s="920"/>
      <c r="E931" s="920"/>
      <c r="F931" s="920"/>
      <c r="G931" s="920"/>
      <c r="V931" s="920"/>
      <c r="W931" s="920"/>
      <c r="X931" s="900"/>
      <c r="Y931" s="900"/>
      <c r="Z931" s="900"/>
    </row>
    <row r="932" spans="1:26">
      <c r="A932" s="900"/>
      <c r="B932" s="920"/>
      <c r="C932" s="920"/>
      <c r="D932" s="920"/>
      <c r="E932" s="920"/>
      <c r="F932" s="920"/>
      <c r="G932" s="920"/>
      <c r="V932" s="920"/>
      <c r="W932" s="920"/>
      <c r="X932" s="900"/>
      <c r="Y932" s="900"/>
      <c r="Z932" s="900"/>
    </row>
    <row r="933" spans="1:26">
      <c r="A933" s="900"/>
      <c r="B933" s="920"/>
      <c r="C933" s="920"/>
      <c r="D933" s="920"/>
      <c r="E933" s="920"/>
      <c r="F933" s="920"/>
      <c r="G933" s="920"/>
      <c r="V933" s="920"/>
      <c r="W933" s="920"/>
      <c r="X933" s="900"/>
      <c r="Y933" s="900"/>
      <c r="Z933" s="900"/>
    </row>
    <row r="934" spans="1:26">
      <c r="A934" s="900"/>
      <c r="B934" s="920"/>
      <c r="C934" s="920"/>
      <c r="D934" s="920"/>
      <c r="E934" s="920"/>
      <c r="F934" s="920"/>
      <c r="G934" s="920"/>
      <c r="V934" s="920"/>
      <c r="W934" s="920"/>
      <c r="X934" s="900"/>
      <c r="Y934" s="900"/>
      <c r="Z934" s="900"/>
    </row>
    <row r="935" spans="1:26">
      <c r="A935" s="900"/>
      <c r="B935" s="920"/>
      <c r="C935" s="920"/>
      <c r="D935" s="920"/>
      <c r="E935" s="920"/>
      <c r="F935" s="920"/>
      <c r="G935" s="920"/>
      <c r="V935" s="920"/>
      <c r="W935" s="920"/>
      <c r="X935" s="900"/>
      <c r="Y935" s="900"/>
      <c r="Z935" s="900"/>
    </row>
    <row r="936" spans="1:26">
      <c r="A936" s="900"/>
      <c r="B936" s="920"/>
      <c r="C936" s="920"/>
      <c r="D936" s="920"/>
      <c r="E936" s="920"/>
      <c r="F936" s="920"/>
      <c r="G936" s="920"/>
      <c r="V936" s="920"/>
      <c r="W936" s="920"/>
      <c r="X936" s="900"/>
      <c r="Y936" s="900"/>
      <c r="Z936" s="900"/>
    </row>
    <row r="937" spans="1:26">
      <c r="A937" s="900"/>
      <c r="B937" s="920"/>
      <c r="C937" s="920"/>
      <c r="D937" s="920"/>
      <c r="E937" s="920"/>
      <c r="F937" s="920"/>
      <c r="G937" s="920"/>
      <c r="V937" s="920"/>
      <c r="W937" s="920"/>
      <c r="X937" s="900"/>
      <c r="Y937" s="900"/>
      <c r="Z937" s="900"/>
    </row>
    <row r="938" spans="1:26">
      <c r="A938" s="900"/>
      <c r="B938" s="920"/>
      <c r="C938" s="920"/>
      <c r="D938" s="920"/>
      <c r="E938" s="920"/>
      <c r="F938" s="920"/>
      <c r="G938" s="920"/>
      <c r="V938" s="920"/>
      <c r="W938" s="920"/>
      <c r="X938" s="900"/>
      <c r="Y938" s="900"/>
      <c r="Z938" s="900"/>
    </row>
    <row r="939" spans="1:26">
      <c r="A939" s="900"/>
      <c r="B939" s="920"/>
      <c r="C939" s="920"/>
      <c r="D939" s="920"/>
      <c r="E939" s="920"/>
      <c r="F939" s="920"/>
      <c r="G939" s="920"/>
      <c r="V939" s="920"/>
      <c r="W939" s="920"/>
      <c r="X939" s="900"/>
      <c r="Y939" s="900"/>
      <c r="Z939" s="900"/>
    </row>
    <row r="940" spans="1:26">
      <c r="A940" s="900"/>
      <c r="B940" s="920"/>
      <c r="C940" s="920"/>
      <c r="D940" s="920"/>
      <c r="E940" s="920"/>
      <c r="F940" s="920"/>
      <c r="G940" s="920"/>
      <c r="V940" s="920"/>
      <c r="W940" s="920"/>
      <c r="X940" s="900"/>
      <c r="Y940" s="900"/>
      <c r="Z940" s="900"/>
    </row>
    <row r="941" spans="1:26">
      <c r="A941" s="900"/>
      <c r="B941" s="920"/>
      <c r="C941" s="920"/>
      <c r="D941" s="920"/>
      <c r="E941" s="920"/>
      <c r="F941" s="920"/>
      <c r="G941" s="920"/>
      <c r="V941" s="920"/>
      <c r="W941" s="920"/>
      <c r="X941" s="900"/>
      <c r="Y941" s="900"/>
      <c r="Z941" s="900"/>
    </row>
    <row r="942" spans="1:26">
      <c r="A942" s="900"/>
      <c r="B942" s="920"/>
      <c r="C942" s="920"/>
      <c r="D942" s="920"/>
      <c r="E942" s="920"/>
      <c r="F942" s="920"/>
      <c r="G942" s="920"/>
      <c r="V942" s="920"/>
      <c r="W942" s="920"/>
      <c r="X942" s="900"/>
      <c r="Y942" s="900"/>
      <c r="Z942" s="900"/>
    </row>
    <row r="943" spans="1:26">
      <c r="A943" s="900"/>
      <c r="B943" s="920"/>
      <c r="C943" s="920"/>
      <c r="D943" s="920"/>
      <c r="E943" s="920"/>
      <c r="F943" s="920"/>
      <c r="G943" s="920"/>
      <c r="V943" s="920"/>
      <c r="W943" s="920"/>
      <c r="X943" s="900"/>
      <c r="Y943" s="900"/>
      <c r="Z943" s="900"/>
    </row>
    <row r="944" spans="1:26">
      <c r="A944" s="900"/>
      <c r="B944" s="920"/>
      <c r="C944" s="920"/>
      <c r="D944" s="920"/>
      <c r="E944" s="920"/>
      <c r="F944" s="920"/>
      <c r="G944" s="920"/>
      <c r="V944" s="920"/>
      <c r="W944" s="920"/>
      <c r="X944" s="900"/>
      <c r="Y944" s="900"/>
      <c r="Z944" s="900"/>
    </row>
    <row r="945" spans="1:26">
      <c r="A945" s="900"/>
      <c r="B945" s="920"/>
      <c r="C945" s="920"/>
      <c r="D945" s="920"/>
      <c r="E945" s="920"/>
      <c r="F945" s="920"/>
      <c r="G945" s="920"/>
      <c r="V945" s="920"/>
      <c r="W945" s="920"/>
      <c r="X945" s="900"/>
      <c r="Y945" s="900"/>
      <c r="Z945" s="900"/>
    </row>
    <row r="946" spans="1:26">
      <c r="A946" s="900"/>
      <c r="B946" s="920"/>
      <c r="C946" s="920"/>
      <c r="D946" s="920"/>
      <c r="E946" s="920"/>
      <c r="F946" s="920"/>
      <c r="G946" s="920"/>
      <c r="V946" s="920"/>
      <c r="W946" s="920"/>
      <c r="X946" s="900"/>
      <c r="Y946" s="900"/>
      <c r="Z946" s="900"/>
    </row>
    <row r="947" spans="1:26">
      <c r="A947" s="900"/>
      <c r="B947" s="920"/>
      <c r="C947" s="920"/>
      <c r="D947" s="920"/>
      <c r="E947" s="920"/>
      <c r="F947" s="920"/>
      <c r="G947" s="920"/>
      <c r="V947" s="920"/>
      <c r="W947" s="920"/>
      <c r="X947" s="900"/>
      <c r="Y947" s="900"/>
      <c r="Z947" s="900"/>
    </row>
    <row r="948" spans="1:26">
      <c r="A948" s="900"/>
      <c r="B948" s="920"/>
      <c r="C948" s="920"/>
      <c r="D948" s="920"/>
      <c r="E948" s="920"/>
      <c r="F948" s="920"/>
      <c r="G948" s="920"/>
      <c r="V948" s="920"/>
      <c r="W948" s="920"/>
      <c r="X948" s="900"/>
      <c r="Y948" s="900"/>
      <c r="Z948" s="900"/>
    </row>
    <row r="949" spans="1:26">
      <c r="A949" s="900"/>
      <c r="B949" s="920"/>
      <c r="C949" s="920"/>
      <c r="D949" s="920"/>
      <c r="E949" s="920"/>
      <c r="F949" s="920"/>
      <c r="G949" s="920"/>
      <c r="V949" s="920"/>
      <c r="W949" s="920"/>
      <c r="X949" s="900"/>
      <c r="Y949" s="900"/>
      <c r="Z949" s="900"/>
    </row>
    <row r="950" spans="1:26">
      <c r="A950" s="900"/>
      <c r="B950" s="920"/>
      <c r="C950" s="920"/>
      <c r="D950" s="920"/>
      <c r="E950" s="920"/>
      <c r="F950" s="920"/>
      <c r="G950" s="920"/>
      <c r="V950" s="920"/>
      <c r="W950" s="920"/>
      <c r="X950" s="900"/>
      <c r="Y950" s="900"/>
      <c r="Z950" s="900"/>
    </row>
    <row r="951" spans="1:26">
      <c r="A951" s="900"/>
      <c r="B951" s="920"/>
      <c r="C951" s="920"/>
      <c r="D951" s="920"/>
      <c r="E951" s="920"/>
      <c r="F951" s="920"/>
      <c r="G951" s="920"/>
      <c r="V951" s="920"/>
      <c r="W951" s="920"/>
      <c r="X951" s="900"/>
      <c r="Y951" s="900"/>
      <c r="Z951" s="900"/>
    </row>
    <row r="952" spans="1:26">
      <c r="A952" s="900"/>
      <c r="B952" s="920"/>
      <c r="C952" s="920"/>
      <c r="D952" s="920"/>
      <c r="E952" s="920"/>
      <c r="F952" s="920"/>
      <c r="G952" s="920"/>
      <c r="V952" s="920"/>
      <c r="W952" s="920"/>
      <c r="X952" s="900"/>
      <c r="Y952" s="900"/>
      <c r="Z952" s="900"/>
    </row>
    <row r="953" spans="1:26">
      <c r="A953" s="900"/>
      <c r="B953" s="920"/>
      <c r="C953" s="920"/>
      <c r="D953" s="920"/>
      <c r="E953" s="920"/>
      <c r="F953" s="920"/>
      <c r="G953" s="920"/>
      <c r="V953" s="920"/>
      <c r="W953" s="920"/>
      <c r="X953" s="900"/>
      <c r="Y953" s="900"/>
      <c r="Z953" s="900"/>
    </row>
    <row r="954" spans="1:26">
      <c r="A954" s="900"/>
      <c r="B954" s="920"/>
      <c r="C954" s="920"/>
      <c r="D954" s="920"/>
      <c r="E954" s="920"/>
      <c r="F954" s="920"/>
      <c r="G954" s="920"/>
      <c r="V954" s="920"/>
      <c r="W954" s="920"/>
      <c r="X954" s="900"/>
      <c r="Y954" s="900"/>
      <c r="Z954" s="900"/>
    </row>
    <row r="955" spans="1:26">
      <c r="A955" s="900"/>
      <c r="B955" s="920"/>
      <c r="C955" s="920"/>
      <c r="D955" s="920"/>
      <c r="E955" s="920"/>
      <c r="F955" s="920"/>
      <c r="G955" s="920"/>
      <c r="V955" s="920"/>
      <c r="W955" s="920"/>
      <c r="X955" s="900"/>
      <c r="Y955" s="900"/>
      <c r="Z955" s="900"/>
    </row>
    <row r="956" spans="1:26">
      <c r="A956" s="900"/>
      <c r="B956" s="920"/>
      <c r="C956" s="920"/>
      <c r="D956" s="920"/>
      <c r="E956" s="920"/>
      <c r="F956" s="920"/>
      <c r="G956" s="920"/>
      <c r="V956" s="920"/>
      <c r="W956" s="920"/>
      <c r="X956" s="900"/>
      <c r="Y956" s="900"/>
      <c r="Z956" s="900"/>
    </row>
    <row r="957" spans="1:26">
      <c r="A957" s="900"/>
      <c r="B957" s="920"/>
      <c r="C957" s="920"/>
      <c r="D957" s="920"/>
      <c r="E957" s="920"/>
      <c r="F957" s="920"/>
      <c r="G957" s="920"/>
      <c r="V957" s="920"/>
      <c r="W957" s="920"/>
      <c r="X957" s="900"/>
      <c r="Y957" s="900"/>
      <c r="Z957" s="900"/>
    </row>
    <row r="958" spans="1:26">
      <c r="A958" s="900"/>
      <c r="B958" s="920"/>
      <c r="C958" s="920"/>
      <c r="D958" s="920"/>
      <c r="E958" s="920"/>
      <c r="F958" s="920"/>
      <c r="G958" s="920"/>
      <c r="V958" s="920"/>
      <c r="W958" s="920"/>
      <c r="X958" s="900"/>
      <c r="Y958" s="900"/>
      <c r="Z958" s="900"/>
    </row>
    <row r="959" spans="1:26">
      <c r="A959" s="900"/>
      <c r="B959" s="920"/>
      <c r="C959" s="920"/>
      <c r="D959" s="920"/>
      <c r="E959" s="920"/>
      <c r="F959" s="920"/>
      <c r="G959" s="920"/>
      <c r="V959" s="920"/>
      <c r="W959" s="920"/>
      <c r="X959" s="900"/>
      <c r="Y959" s="900"/>
      <c r="Z959" s="900"/>
    </row>
    <row r="960" spans="1:26">
      <c r="A960" s="900"/>
      <c r="B960" s="920"/>
      <c r="C960" s="920"/>
      <c r="D960" s="920"/>
      <c r="E960" s="920"/>
      <c r="F960" s="920"/>
      <c r="G960" s="920"/>
      <c r="V960" s="920"/>
      <c r="W960" s="920"/>
      <c r="X960" s="900"/>
      <c r="Y960" s="900"/>
      <c r="Z960" s="900"/>
    </row>
    <row r="961" spans="1:26">
      <c r="A961" s="900"/>
      <c r="B961" s="920"/>
      <c r="C961" s="920"/>
      <c r="D961" s="920"/>
      <c r="E961" s="920"/>
      <c r="F961" s="920"/>
      <c r="G961" s="920"/>
      <c r="V961" s="920"/>
      <c r="W961" s="920"/>
      <c r="X961" s="900"/>
      <c r="Y961" s="900"/>
      <c r="Z961" s="900"/>
    </row>
    <row r="962" spans="1:26">
      <c r="A962" s="900"/>
      <c r="B962" s="920"/>
      <c r="C962" s="920"/>
      <c r="D962" s="920"/>
      <c r="E962" s="920"/>
      <c r="F962" s="920"/>
      <c r="G962" s="920"/>
      <c r="V962" s="920"/>
      <c r="W962" s="920"/>
      <c r="X962" s="900"/>
      <c r="Y962" s="900"/>
      <c r="Z962" s="900"/>
    </row>
    <row r="963" spans="1:26">
      <c r="A963" s="900"/>
      <c r="B963" s="920"/>
      <c r="C963" s="920"/>
      <c r="D963" s="920"/>
      <c r="E963" s="920"/>
      <c r="F963" s="920"/>
      <c r="G963" s="920"/>
      <c r="V963" s="920"/>
      <c r="W963" s="920"/>
      <c r="X963" s="900"/>
      <c r="Y963" s="900"/>
      <c r="Z963" s="900"/>
    </row>
    <row r="964" spans="1:26">
      <c r="A964" s="900"/>
      <c r="B964" s="920"/>
      <c r="C964" s="920"/>
      <c r="D964" s="920"/>
      <c r="E964" s="920"/>
      <c r="F964" s="920"/>
      <c r="G964" s="920"/>
      <c r="V964" s="920"/>
      <c r="W964" s="920"/>
      <c r="X964" s="900"/>
      <c r="Y964" s="900"/>
      <c r="Z964" s="900"/>
    </row>
    <row r="965" spans="1:26">
      <c r="A965" s="900"/>
      <c r="B965" s="920"/>
      <c r="C965" s="920"/>
      <c r="D965" s="920"/>
      <c r="E965" s="920"/>
      <c r="F965" s="920"/>
      <c r="G965" s="920"/>
      <c r="V965" s="920"/>
      <c r="W965" s="920"/>
      <c r="X965" s="900"/>
      <c r="Y965" s="900"/>
      <c r="Z965" s="900"/>
    </row>
    <row r="966" spans="1:26">
      <c r="A966" s="900"/>
      <c r="B966" s="920"/>
      <c r="C966" s="920"/>
      <c r="D966" s="920"/>
      <c r="E966" s="920"/>
      <c r="F966" s="920"/>
      <c r="G966" s="920"/>
      <c r="V966" s="920"/>
      <c r="W966" s="920"/>
      <c r="X966" s="900"/>
      <c r="Y966" s="900"/>
      <c r="Z966" s="900"/>
    </row>
    <row r="967" spans="1:26">
      <c r="A967" s="900"/>
      <c r="B967" s="920"/>
      <c r="C967" s="920"/>
      <c r="D967" s="920"/>
      <c r="E967" s="920"/>
      <c r="F967" s="920"/>
      <c r="G967" s="920"/>
      <c r="V967" s="920"/>
      <c r="W967" s="920"/>
      <c r="X967" s="900"/>
      <c r="Y967" s="900"/>
      <c r="Z967" s="900"/>
    </row>
    <row r="968" spans="1:26">
      <c r="A968" s="900"/>
      <c r="B968" s="920"/>
      <c r="C968" s="920"/>
      <c r="D968" s="920"/>
      <c r="E968" s="920"/>
      <c r="F968" s="920"/>
      <c r="G968" s="920"/>
      <c r="V968" s="920"/>
      <c r="W968" s="920"/>
      <c r="X968" s="900"/>
      <c r="Y968" s="900"/>
      <c r="Z968" s="900"/>
    </row>
    <row r="969" spans="1:26">
      <c r="A969" s="900"/>
      <c r="B969" s="920"/>
      <c r="C969" s="920"/>
      <c r="D969" s="920"/>
      <c r="E969" s="920"/>
      <c r="F969" s="920"/>
      <c r="G969" s="920"/>
      <c r="V969" s="920"/>
      <c r="W969" s="920"/>
      <c r="X969" s="900"/>
      <c r="Y969" s="900"/>
      <c r="Z969" s="900"/>
    </row>
    <row r="970" spans="1:26">
      <c r="A970" s="900"/>
      <c r="B970" s="920"/>
      <c r="C970" s="920"/>
      <c r="D970" s="920"/>
      <c r="E970" s="920"/>
      <c r="F970" s="920"/>
      <c r="G970" s="920"/>
      <c r="V970" s="920"/>
      <c r="W970" s="920"/>
      <c r="X970" s="900"/>
      <c r="Y970" s="900"/>
      <c r="Z970" s="900"/>
    </row>
    <row r="971" spans="1:26">
      <c r="A971" s="900"/>
      <c r="B971" s="920"/>
      <c r="C971" s="920"/>
      <c r="D971" s="920"/>
      <c r="E971" s="920"/>
      <c r="F971" s="920"/>
      <c r="G971" s="920"/>
      <c r="V971" s="920"/>
      <c r="W971" s="920"/>
      <c r="X971" s="900"/>
      <c r="Y971" s="900"/>
      <c r="Z971" s="900"/>
    </row>
    <row r="972" spans="1:26">
      <c r="A972" s="900"/>
      <c r="B972" s="920"/>
      <c r="C972" s="920"/>
      <c r="D972" s="920"/>
      <c r="E972" s="920"/>
      <c r="F972" s="920"/>
      <c r="G972" s="920"/>
      <c r="V972" s="920"/>
      <c r="W972" s="920"/>
      <c r="X972" s="900"/>
      <c r="Y972" s="900"/>
      <c r="Z972" s="900"/>
    </row>
    <row r="973" spans="1:26">
      <c r="A973" s="900"/>
      <c r="B973" s="920"/>
      <c r="C973" s="920"/>
      <c r="D973" s="920"/>
      <c r="E973" s="920"/>
      <c r="F973" s="920"/>
      <c r="G973" s="920"/>
      <c r="V973" s="920"/>
      <c r="W973" s="920"/>
      <c r="X973" s="900"/>
      <c r="Y973" s="900"/>
      <c r="Z973" s="900"/>
    </row>
    <row r="974" spans="1:26">
      <c r="A974" s="900"/>
      <c r="B974" s="920"/>
      <c r="C974" s="920"/>
      <c r="D974" s="920"/>
      <c r="E974" s="920"/>
      <c r="F974" s="920"/>
      <c r="G974" s="920"/>
      <c r="V974" s="920"/>
      <c r="W974" s="920"/>
      <c r="X974" s="900"/>
      <c r="Y974" s="900"/>
      <c r="Z974" s="900"/>
    </row>
    <row r="975" spans="1:26">
      <c r="A975" s="900"/>
      <c r="B975" s="920"/>
      <c r="C975" s="920"/>
      <c r="D975" s="920"/>
      <c r="E975" s="920"/>
      <c r="F975" s="920"/>
      <c r="G975" s="920"/>
      <c r="V975" s="920"/>
      <c r="W975" s="920"/>
      <c r="X975" s="900"/>
      <c r="Y975" s="900"/>
      <c r="Z975" s="900"/>
    </row>
    <row r="976" spans="1:26">
      <c r="A976" s="900"/>
      <c r="B976" s="920"/>
      <c r="C976" s="920"/>
      <c r="D976" s="920"/>
      <c r="E976" s="920"/>
      <c r="F976" s="920"/>
      <c r="G976" s="920"/>
      <c r="V976" s="920"/>
      <c r="W976" s="920"/>
      <c r="X976" s="900"/>
      <c r="Y976" s="900"/>
      <c r="Z976" s="900"/>
    </row>
    <row r="977" spans="1:26">
      <c r="A977" s="900"/>
      <c r="B977" s="920"/>
      <c r="C977" s="920"/>
      <c r="D977" s="920"/>
      <c r="E977" s="920"/>
      <c r="F977" s="920"/>
      <c r="G977" s="920"/>
      <c r="V977" s="920"/>
      <c r="W977" s="920"/>
      <c r="X977" s="900"/>
      <c r="Y977" s="900"/>
      <c r="Z977" s="900"/>
    </row>
    <row r="978" spans="1:26">
      <c r="A978" s="900"/>
      <c r="B978" s="920"/>
      <c r="C978" s="920"/>
      <c r="D978" s="920"/>
      <c r="E978" s="920"/>
      <c r="F978" s="920"/>
      <c r="G978" s="920"/>
      <c r="V978" s="920"/>
      <c r="W978" s="920"/>
      <c r="X978" s="900"/>
      <c r="Y978" s="900"/>
      <c r="Z978" s="900"/>
    </row>
    <row r="979" spans="1:26">
      <c r="A979" s="900"/>
      <c r="B979" s="920"/>
      <c r="C979" s="920"/>
      <c r="D979" s="920"/>
      <c r="E979" s="920"/>
      <c r="F979" s="920"/>
      <c r="G979" s="920"/>
      <c r="V979" s="920"/>
      <c r="W979" s="920"/>
      <c r="X979" s="900"/>
      <c r="Y979" s="900"/>
      <c r="Z979" s="900"/>
    </row>
    <row r="980" spans="1:26">
      <c r="A980" s="900"/>
      <c r="B980" s="920"/>
      <c r="C980" s="920"/>
      <c r="D980" s="920"/>
      <c r="E980" s="920"/>
      <c r="F980" s="920"/>
      <c r="G980" s="920"/>
      <c r="V980" s="920"/>
      <c r="W980" s="920"/>
      <c r="X980" s="900"/>
      <c r="Y980" s="900"/>
      <c r="Z980" s="900"/>
    </row>
    <row r="981" spans="1:26">
      <c r="A981" s="900"/>
      <c r="B981" s="920"/>
      <c r="C981" s="920"/>
      <c r="D981" s="920"/>
      <c r="E981" s="920"/>
      <c r="F981" s="920"/>
      <c r="G981" s="920"/>
      <c r="V981" s="920"/>
      <c r="W981" s="920"/>
      <c r="X981" s="900"/>
      <c r="Y981" s="900"/>
      <c r="Z981" s="900"/>
    </row>
    <row r="982" spans="1:26">
      <c r="A982" s="900"/>
      <c r="B982" s="920"/>
      <c r="C982" s="920"/>
      <c r="D982" s="920"/>
      <c r="E982" s="920"/>
      <c r="F982" s="920"/>
      <c r="G982" s="920"/>
      <c r="V982" s="920"/>
      <c r="W982" s="920"/>
      <c r="X982" s="900"/>
      <c r="Y982" s="900"/>
      <c r="Z982" s="900"/>
    </row>
    <row r="983" spans="1:26">
      <c r="A983" s="900"/>
      <c r="B983" s="920"/>
      <c r="C983" s="920"/>
      <c r="D983" s="920"/>
      <c r="E983" s="920"/>
      <c r="F983" s="920"/>
      <c r="G983" s="920"/>
      <c r="V983" s="920"/>
      <c r="W983" s="920"/>
      <c r="X983" s="900"/>
      <c r="Y983" s="900"/>
      <c r="Z983" s="900"/>
    </row>
    <row r="984" spans="1:26">
      <c r="A984" s="900"/>
      <c r="B984" s="920"/>
      <c r="C984" s="920"/>
      <c r="D984" s="920"/>
      <c r="E984" s="920"/>
      <c r="F984" s="920"/>
      <c r="G984" s="920"/>
      <c r="V984" s="920"/>
      <c r="W984" s="920"/>
      <c r="X984" s="900"/>
      <c r="Y984" s="900"/>
      <c r="Z984" s="900"/>
    </row>
    <row r="985" spans="1:26">
      <c r="A985" s="900"/>
      <c r="B985" s="920"/>
      <c r="C985" s="920"/>
      <c r="D985" s="920"/>
      <c r="E985" s="920"/>
      <c r="F985" s="920"/>
      <c r="G985" s="920"/>
      <c r="V985" s="920"/>
      <c r="W985" s="920"/>
      <c r="X985" s="900"/>
      <c r="Y985" s="900"/>
      <c r="Z985" s="900"/>
    </row>
    <row r="986" spans="1:26">
      <c r="A986" s="900"/>
      <c r="B986" s="920"/>
      <c r="C986" s="920"/>
      <c r="D986" s="920"/>
      <c r="E986" s="920"/>
      <c r="F986" s="920"/>
      <c r="G986" s="920"/>
      <c r="V986" s="920"/>
      <c r="W986" s="920"/>
      <c r="X986" s="900"/>
      <c r="Y986" s="900"/>
      <c r="Z986" s="900"/>
    </row>
    <row r="987" spans="1:26">
      <c r="A987" s="900"/>
      <c r="B987" s="920"/>
      <c r="C987" s="920"/>
      <c r="D987" s="920"/>
      <c r="E987" s="920"/>
      <c r="F987" s="920"/>
      <c r="G987" s="920"/>
      <c r="V987" s="920"/>
      <c r="W987" s="920"/>
      <c r="X987" s="900"/>
      <c r="Y987" s="900"/>
      <c r="Z987" s="900"/>
    </row>
    <row r="988" spans="1:26">
      <c r="A988" s="900"/>
      <c r="B988" s="920"/>
      <c r="C988" s="920"/>
      <c r="D988" s="920"/>
      <c r="E988" s="920"/>
      <c r="F988" s="920"/>
      <c r="G988" s="920"/>
      <c r="V988" s="920"/>
      <c r="W988" s="920"/>
      <c r="X988" s="900"/>
      <c r="Y988" s="900"/>
      <c r="Z988" s="900"/>
    </row>
    <row r="989" spans="1:26">
      <c r="A989" s="900"/>
      <c r="B989" s="920"/>
      <c r="C989" s="920"/>
      <c r="D989" s="920"/>
      <c r="E989" s="920"/>
      <c r="F989" s="920"/>
      <c r="G989" s="920"/>
      <c r="V989" s="920"/>
      <c r="W989" s="920"/>
      <c r="X989" s="900"/>
      <c r="Y989" s="900"/>
      <c r="Z989" s="900"/>
    </row>
    <row r="990" spans="1:26">
      <c r="A990" s="900"/>
      <c r="B990" s="920"/>
      <c r="C990" s="920"/>
      <c r="D990" s="920"/>
      <c r="E990" s="920"/>
      <c r="F990" s="920"/>
      <c r="G990" s="920"/>
      <c r="V990" s="920"/>
      <c r="W990" s="920"/>
      <c r="X990" s="900"/>
      <c r="Y990" s="900"/>
      <c r="Z990" s="900"/>
    </row>
    <row r="991" spans="1:26">
      <c r="A991" s="900"/>
      <c r="B991" s="920"/>
      <c r="C991" s="920"/>
      <c r="D991" s="920"/>
      <c r="E991" s="920"/>
      <c r="F991" s="920"/>
      <c r="G991" s="920"/>
      <c r="V991" s="920"/>
      <c r="W991" s="920"/>
      <c r="X991" s="900"/>
      <c r="Y991" s="900"/>
      <c r="Z991" s="900"/>
    </row>
    <row r="992" spans="1:26">
      <c r="A992" s="900"/>
      <c r="B992" s="920"/>
      <c r="C992" s="920"/>
      <c r="D992" s="920"/>
      <c r="E992" s="920"/>
      <c r="F992" s="920"/>
      <c r="G992" s="920"/>
      <c r="V992" s="920"/>
      <c r="W992" s="920"/>
      <c r="X992" s="900"/>
      <c r="Y992" s="900"/>
      <c r="Z992" s="900"/>
    </row>
    <row r="993" spans="1:26">
      <c r="A993" s="900"/>
      <c r="B993" s="920"/>
      <c r="C993" s="920"/>
      <c r="D993" s="920"/>
      <c r="E993" s="920"/>
      <c r="F993" s="920"/>
      <c r="G993" s="920"/>
      <c r="V993" s="920"/>
      <c r="W993" s="920"/>
      <c r="X993" s="900"/>
      <c r="Y993" s="900"/>
      <c r="Z993" s="900"/>
    </row>
    <row r="994" spans="1:26">
      <c r="A994" s="900"/>
      <c r="B994" s="920"/>
      <c r="C994" s="920"/>
      <c r="D994" s="920"/>
      <c r="E994" s="920"/>
      <c r="F994" s="920"/>
      <c r="G994" s="920"/>
      <c r="V994" s="920"/>
      <c r="W994" s="920"/>
      <c r="X994" s="900"/>
      <c r="Y994" s="900"/>
      <c r="Z994" s="900"/>
    </row>
    <row r="995" spans="1:26">
      <c r="A995" s="900"/>
      <c r="B995" s="920"/>
      <c r="C995" s="920"/>
      <c r="D995" s="920"/>
      <c r="E995" s="920"/>
      <c r="F995" s="920"/>
      <c r="G995" s="920"/>
      <c r="V995" s="920"/>
      <c r="W995" s="920"/>
      <c r="X995" s="900"/>
      <c r="Y995" s="900"/>
      <c r="Z995" s="900"/>
    </row>
    <row r="996" spans="1:26">
      <c r="A996" s="900"/>
      <c r="B996" s="920"/>
      <c r="C996" s="920"/>
      <c r="D996" s="920"/>
      <c r="E996" s="920"/>
      <c r="F996" s="920"/>
      <c r="G996" s="920"/>
      <c r="V996" s="920"/>
      <c r="W996" s="920"/>
      <c r="X996" s="900"/>
      <c r="Y996" s="900"/>
      <c r="Z996" s="900"/>
    </row>
    <row r="997" spans="1:26">
      <c r="A997" s="900"/>
      <c r="B997" s="920"/>
      <c r="C997" s="920"/>
      <c r="D997" s="920"/>
      <c r="E997" s="920"/>
      <c r="F997" s="920"/>
      <c r="G997" s="920"/>
      <c r="V997" s="920"/>
      <c r="W997" s="920"/>
      <c r="X997" s="900"/>
      <c r="Y997" s="900"/>
      <c r="Z997" s="900"/>
    </row>
    <row r="998" spans="1:26">
      <c r="A998" s="900"/>
      <c r="B998" s="920"/>
      <c r="C998" s="920"/>
      <c r="D998" s="920"/>
      <c r="E998" s="920"/>
      <c r="F998" s="920"/>
      <c r="G998" s="920"/>
      <c r="V998" s="920"/>
      <c r="W998" s="920"/>
      <c r="X998" s="900"/>
      <c r="Y998" s="900"/>
      <c r="Z998" s="900"/>
    </row>
    <row r="999" spans="1:26">
      <c r="A999" s="900"/>
      <c r="B999" s="920"/>
      <c r="C999" s="920"/>
      <c r="D999" s="920"/>
      <c r="E999" s="920"/>
      <c r="F999" s="920"/>
      <c r="G999" s="920"/>
      <c r="V999" s="920"/>
      <c r="W999" s="920"/>
      <c r="X999" s="900"/>
      <c r="Y999" s="900"/>
      <c r="Z999" s="900"/>
    </row>
    <row r="1000" spans="1:26">
      <c r="A1000" s="900"/>
      <c r="B1000" s="920"/>
      <c r="C1000" s="920"/>
      <c r="D1000" s="920"/>
      <c r="E1000" s="920"/>
      <c r="F1000" s="920"/>
      <c r="G1000" s="920"/>
      <c r="V1000" s="920"/>
      <c r="W1000" s="920"/>
      <c r="X1000" s="900"/>
      <c r="Y1000" s="900"/>
      <c r="Z1000" s="900"/>
    </row>
    <row r="1001" spans="1:26">
      <c r="A1001" s="900"/>
      <c r="B1001" s="920"/>
      <c r="C1001" s="920"/>
      <c r="D1001" s="920"/>
      <c r="E1001" s="920"/>
      <c r="F1001" s="920"/>
      <c r="G1001" s="920"/>
      <c r="V1001" s="920"/>
      <c r="W1001" s="920"/>
      <c r="X1001" s="900"/>
      <c r="Y1001" s="900"/>
      <c r="Z1001" s="900"/>
    </row>
    <row r="1002" spans="1:26">
      <c r="A1002" s="900"/>
      <c r="B1002" s="920"/>
      <c r="C1002" s="920"/>
      <c r="D1002" s="920"/>
      <c r="E1002" s="920"/>
      <c r="F1002" s="920"/>
      <c r="G1002" s="920"/>
      <c r="V1002" s="920"/>
      <c r="W1002" s="920"/>
      <c r="X1002" s="900"/>
      <c r="Y1002" s="900"/>
      <c r="Z1002" s="900"/>
    </row>
    <row r="1003" spans="1:26">
      <c r="A1003" s="900"/>
      <c r="B1003" s="920"/>
      <c r="C1003" s="920"/>
      <c r="D1003" s="920"/>
      <c r="E1003" s="920"/>
      <c r="F1003" s="920"/>
      <c r="G1003" s="920"/>
      <c r="V1003" s="920"/>
      <c r="W1003" s="920"/>
      <c r="X1003" s="900"/>
      <c r="Y1003" s="900"/>
      <c r="Z1003" s="900"/>
    </row>
    <row r="1004" spans="1:26">
      <c r="A1004" s="900"/>
      <c r="B1004" s="920"/>
      <c r="C1004" s="920"/>
      <c r="D1004" s="920"/>
      <c r="E1004" s="920"/>
      <c r="F1004" s="920"/>
      <c r="G1004" s="920"/>
      <c r="V1004" s="920"/>
      <c r="W1004" s="920"/>
      <c r="X1004" s="900"/>
      <c r="Y1004" s="900"/>
      <c r="Z1004" s="900"/>
    </row>
    <row r="1005" spans="1:26">
      <c r="A1005" s="900"/>
      <c r="B1005" s="920"/>
      <c r="C1005" s="920"/>
      <c r="D1005" s="920"/>
      <c r="E1005" s="920"/>
      <c r="F1005" s="920"/>
      <c r="G1005" s="920"/>
      <c r="V1005" s="920"/>
      <c r="W1005" s="920"/>
      <c r="X1005" s="900"/>
      <c r="Y1005" s="900"/>
      <c r="Z1005" s="900"/>
    </row>
    <row r="1006" spans="1:26">
      <c r="A1006" s="900"/>
      <c r="B1006" s="920"/>
      <c r="C1006" s="920"/>
      <c r="D1006" s="920"/>
      <c r="E1006" s="920"/>
      <c r="F1006" s="920"/>
      <c r="G1006" s="920"/>
      <c r="V1006" s="920"/>
      <c r="W1006" s="920"/>
      <c r="X1006" s="900"/>
      <c r="Y1006" s="900"/>
      <c r="Z1006" s="900"/>
    </row>
    <row r="1007" spans="1:26">
      <c r="A1007" s="900"/>
      <c r="B1007" s="920"/>
      <c r="C1007" s="920"/>
      <c r="D1007" s="920"/>
      <c r="E1007" s="920"/>
      <c r="F1007" s="920"/>
      <c r="G1007" s="920"/>
      <c r="V1007" s="920"/>
      <c r="W1007" s="920"/>
      <c r="X1007" s="900"/>
      <c r="Y1007" s="900"/>
      <c r="Z1007" s="900"/>
    </row>
    <row r="1008" spans="1:26">
      <c r="A1008" s="900"/>
      <c r="B1008" s="920"/>
      <c r="C1008" s="920"/>
      <c r="D1008" s="920"/>
      <c r="E1008" s="920"/>
      <c r="F1008" s="920"/>
      <c r="G1008" s="920"/>
      <c r="V1008" s="920"/>
      <c r="W1008" s="920"/>
      <c r="X1008" s="900"/>
      <c r="Y1008" s="900"/>
      <c r="Z1008" s="900"/>
    </row>
  </sheetData>
  <mergeCells count="41">
    <mergeCell ref="A13:B13"/>
    <mergeCell ref="A14:B14"/>
    <mergeCell ref="A1:W1"/>
    <mergeCell ref="A3:B5"/>
    <mergeCell ref="V3:V5"/>
    <mergeCell ref="W3:W5"/>
    <mergeCell ref="A6:B6"/>
    <mergeCell ref="K3:M4"/>
    <mergeCell ref="C3:J4"/>
    <mergeCell ref="A12:B12"/>
    <mergeCell ref="A7:B7"/>
    <mergeCell ref="A8:B8"/>
    <mergeCell ref="A10:B10"/>
    <mergeCell ref="A11:B11"/>
    <mergeCell ref="N3:U4"/>
    <mergeCell ref="A42:B42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41:B41"/>
    <mergeCell ref="A26:B26"/>
    <mergeCell ref="A23:B23"/>
    <mergeCell ref="A24:B24"/>
    <mergeCell ref="A38:B38"/>
    <mergeCell ref="A39:B39"/>
    <mergeCell ref="A27:B27"/>
    <mergeCell ref="A21:B21"/>
    <mergeCell ref="A22:B22"/>
    <mergeCell ref="A25:B25"/>
    <mergeCell ref="A16:B16"/>
    <mergeCell ref="A17:B17"/>
    <mergeCell ref="A18:B18"/>
    <mergeCell ref="A19:B19"/>
    <mergeCell ref="A20:B20"/>
  </mergeCells>
  <pageMargins left="0.35433070866141736" right="0.15748031496062992" top="0.23622047244094491" bottom="0.39370078740157483" header="0.15748031496062992" footer="0.15748031496062992"/>
  <pageSetup paperSize="9" scale="60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13"/>
  </sheetPr>
  <dimension ref="A1:AA1098"/>
  <sheetViews>
    <sheetView showGridLines="0" topLeftCell="A7" zoomScaleNormal="100" zoomScaleSheetLayoutView="100" workbookViewId="0">
      <pane xSplit="9" ySplit="5" topLeftCell="J164" activePane="bottomRight" state="frozen"/>
      <selection activeCell="A7" sqref="A7"/>
      <selection pane="topRight" activeCell="J7" sqref="J7"/>
      <selection pane="bottomLeft" activeCell="A12" sqref="A12"/>
      <selection pane="bottomRight" activeCell="P17" sqref="P17"/>
    </sheetView>
  </sheetViews>
  <sheetFormatPr defaultColWidth="9.140625" defaultRowHeight="12.75" outlineLevelCol="1"/>
  <cols>
    <col min="1" max="1" width="43" style="1" customWidth="1"/>
    <col min="2" max="2" width="13" style="1" hidden="1" customWidth="1"/>
    <col min="3" max="3" width="11.85546875" style="326" hidden="1" customWidth="1"/>
    <col min="4" max="4" width="12.28515625" style="311" hidden="1" customWidth="1"/>
    <col min="5" max="5" width="11.85546875" style="311" hidden="1" customWidth="1"/>
    <col min="6" max="6" width="12.5703125" style="327" hidden="1" customWidth="1"/>
    <col min="7" max="8" width="12.85546875" style="2" hidden="1" customWidth="1"/>
    <col min="9" max="9" width="13" style="2" hidden="1" customWidth="1"/>
    <col min="10" max="10" width="16" style="2" customWidth="1"/>
    <col min="11" max="11" width="9.140625" style="2" hidden="1" customWidth="1"/>
    <col min="12" max="12" width="14.42578125" style="2" customWidth="1"/>
    <col min="13" max="13" width="13.140625" style="2" customWidth="1"/>
    <col min="14" max="14" width="12.5703125" style="2" customWidth="1"/>
    <col min="15" max="15" width="13.5703125" style="2" customWidth="1"/>
    <col min="16" max="16" width="13.42578125" style="2" customWidth="1"/>
    <col min="17" max="17" width="13.85546875" style="2" customWidth="1"/>
    <col min="18" max="18" width="16.28515625" style="2" customWidth="1"/>
    <col min="19" max="19" width="15.5703125" style="2" customWidth="1"/>
    <col min="20" max="20" width="14.85546875" style="2" customWidth="1"/>
    <col min="21" max="21" width="16.140625" style="1" customWidth="1"/>
    <col min="22" max="22" width="14.5703125" style="5" customWidth="1" outlineLevel="1"/>
    <col min="23" max="23" width="14.85546875" style="5" customWidth="1" outlineLevel="1"/>
    <col min="24" max="24" width="14.7109375" style="1" customWidth="1"/>
    <col min="25" max="25" width="14.28515625" style="1" customWidth="1"/>
    <col min="26" max="26" width="9.140625" style="1"/>
    <col min="27" max="27" width="9.7109375" style="1" bestFit="1" customWidth="1"/>
    <col min="28" max="16384" width="9.140625" style="1"/>
  </cols>
  <sheetData>
    <row r="1" spans="1:25" ht="23.25" customHeight="1">
      <c r="C1" s="2"/>
      <c r="D1" s="2"/>
      <c r="E1" s="2"/>
      <c r="F1" s="2"/>
      <c r="M1" s="3"/>
      <c r="P1" s="4"/>
      <c r="Q1" s="4" t="s">
        <v>0</v>
      </c>
      <c r="R1" s="4"/>
      <c r="S1" s="4"/>
      <c r="T1" s="4"/>
    </row>
    <row r="2" spans="1:25" ht="3.75" customHeight="1">
      <c r="C2" s="2"/>
      <c r="D2" s="2"/>
      <c r="E2" s="2"/>
      <c r="F2" s="2"/>
      <c r="M2" s="6"/>
      <c r="N2" s="7"/>
      <c r="O2" s="7"/>
      <c r="P2" s="7"/>
      <c r="Q2" s="7"/>
      <c r="R2" s="7"/>
      <c r="S2" s="7"/>
      <c r="T2" s="7"/>
      <c r="U2" s="6"/>
    </row>
    <row r="3" spans="1:25" ht="12.75" customHeight="1">
      <c r="C3" s="2"/>
      <c r="D3" s="2"/>
      <c r="E3" s="2"/>
      <c r="F3" s="2"/>
      <c r="M3" s="6"/>
      <c r="N3" s="7"/>
      <c r="O3" s="7"/>
      <c r="P3" s="7"/>
      <c r="Q3" s="7"/>
      <c r="R3" s="7"/>
      <c r="S3" s="7"/>
      <c r="T3" s="7"/>
      <c r="U3" s="6"/>
    </row>
    <row r="4" spans="1:25" ht="12.75" customHeight="1">
      <c r="C4" s="2"/>
      <c r="D4" s="2"/>
      <c r="E4" s="2"/>
      <c r="F4" s="2"/>
      <c r="L4" s="6"/>
      <c r="M4" s="6"/>
      <c r="N4" s="6"/>
      <c r="O4" s="6"/>
      <c r="P4" s="6"/>
      <c r="Q4" s="6"/>
      <c r="R4" s="6"/>
      <c r="S4" s="6"/>
      <c r="T4" s="6"/>
      <c r="U4" s="6"/>
    </row>
    <row r="5" spans="1:25" ht="72" customHeight="1">
      <c r="A5" s="3997" t="s">
        <v>1</v>
      </c>
      <c r="B5" s="3997"/>
      <c r="C5" s="3997"/>
      <c r="D5" s="3997"/>
      <c r="E5" s="3997"/>
      <c r="F5" s="3997"/>
      <c r="G5" s="3997"/>
      <c r="H5" s="3997"/>
      <c r="I5" s="3997"/>
      <c r="J5" s="3997"/>
      <c r="K5" s="3997"/>
      <c r="L5" s="3997"/>
      <c r="M5" s="3997"/>
      <c r="N5" s="3997"/>
      <c r="O5" s="3997"/>
      <c r="P5" s="3997"/>
      <c r="Q5" s="3997"/>
      <c r="R5" s="3997"/>
      <c r="S5" s="3997"/>
      <c r="T5" s="3997"/>
      <c r="U5" s="3997"/>
      <c r="V5" s="1500"/>
    </row>
    <row r="6" spans="1:25" ht="3.75" customHeight="1">
      <c r="A6" s="8"/>
      <c r="B6" s="8"/>
      <c r="C6" s="8"/>
      <c r="D6" s="9"/>
      <c r="E6" s="9"/>
      <c r="F6" s="9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5" ht="39.75" customHeight="1" thickBot="1">
      <c r="A7" s="3998" t="s">
        <v>2</v>
      </c>
      <c r="B7" s="3998"/>
      <c r="C7" s="3998"/>
      <c r="D7" s="3998"/>
      <c r="E7" s="3998"/>
      <c r="F7" s="3998"/>
      <c r="G7" s="3998"/>
      <c r="H7" s="3998"/>
      <c r="I7" s="3998"/>
      <c r="J7" s="3998"/>
      <c r="K7" s="3998"/>
      <c r="L7" s="3998"/>
      <c r="M7" s="3998"/>
      <c r="N7" s="3998"/>
      <c r="O7" s="3998"/>
      <c r="P7" s="3998"/>
      <c r="Q7" s="3998"/>
      <c r="R7" s="3998"/>
      <c r="S7" s="3998"/>
      <c r="T7" s="3998"/>
      <c r="U7" s="3998"/>
      <c r="V7" s="1501"/>
    </row>
    <row r="8" spans="1:25" s="2" customFormat="1" ht="24.75" customHeight="1">
      <c r="A8" s="1186"/>
      <c r="B8" s="1686"/>
      <c r="C8" s="1687"/>
      <c r="D8" s="1687"/>
      <c r="E8" s="1687"/>
      <c r="F8" s="1687"/>
      <c r="G8" s="1687"/>
      <c r="H8" s="1687"/>
      <c r="I8" s="1687"/>
      <c r="J8" s="3995" t="s">
        <v>522</v>
      </c>
      <c r="K8" s="1687"/>
      <c r="L8" s="3978" t="s">
        <v>539</v>
      </c>
      <c r="M8" s="3980" t="s">
        <v>538</v>
      </c>
      <c r="N8" s="3978"/>
      <c r="O8" s="3978"/>
      <c r="P8" s="3978"/>
      <c r="Q8" s="3978"/>
      <c r="R8" s="3978"/>
      <c r="S8" s="3978"/>
      <c r="T8" s="3981"/>
      <c r="U8" s="3992" t="s">
        <v>4</v>
      </c>
      <c r="V8" s="3984" t="s">
        <v>506</v>
      </c>
      <c r="W8" s="317"/>
    </row>
    <row r="9" spans="1:25" ht="27" customHeight="1">
      <c r="A9" s="10" t="s">
        <v>5</v>
      </c>
      <c r="B9" s="1688"/>
      <c r="C9" s="1689"/>
      <c r="D9" s="1689"/>
      <c r="E9" s="1689"/>
      <c r="F9" s="1689"/>
      <c r="G9" s="1689"/>
      <c r="H9" s="1689"/>
      <c r="I9" s="1689"/>
      <c r="J9" s="3996"/>
      <c r="K9" s="1689"/>
      <c r="L9" s="3979"/>
      <c r="M9" s="3982"/>
      <c r="N9" s="3979"/>
      <c r="O9" s="3979"/>
      <c r="P9" s="3979"/>
      <c r="Q9" s="3979"/>
      <c r="R9" s="3979"/>
      <c r="S9" s="3979"/>
      <c r="T9" s="3983"/>
      <c r="U9" s="3993"/>
      <c r="V9" s="3985"/>
      <c r="W9" s="317" t="s">
        <v>3</v>
      </c>
    </row>
    <row r="10" spans="1:25" ht="19.5" customHeight="1" thickBot="1">
      <c r="A10" s="10"/>
      <c r="B10" s="1138" t="s">
        <v>6</v>
      </c>
      <c r="C10" s="1142" t="s">
        <v>7</v>
      </c>
      <c r="D10" s="1142" t="s">
        <v>8</v>
      </c>
      <c r="E10" s="1142" t="s">
        <v>9</v>
      </c>
      <c r="F10" s="1139" t="s">
        <v>10</v>
      </c>
      <c r="G10" s="1139" t="s">
        <v>11</v>
      </c>
      <c r="H10" s="1139" t="s">
        <v>12</v>
      </c>
      <c r="I10" s="1139" t="s">
        <v>13</v>
      </c>
      <c r="J10" s="1136" t="s">
        <v>489</v>
      </c>
      <c r="K10" s="1582" t="s">
        <v>14</v>
      </c>
      <c r="L10" s="12" t="s">
        <v>15</v>
      </c>
      <c r="M10" s="12" t="s">
        <v>16</v>
      </c>
      <c r="N10" s="13" t="s">
        <v>17</v>
      </c>
      <c r="O10" s="13" t="s">
        <v>18</v>
      </c>
      <c r="P10" s="13" t="s">
        <v>376</v>
      </c>
      <c r="Q10" s="13" t="s">
        <v>381</v>
      </c>
      <c r="R10" s="13" t="s">
        <v>491</v>
      </c>
      <c r="S10" s="13" t="s">
        <v>492</v>
      </c>
      <c r="T10" s="1549" t="s">
        <v>490</v>
      </c>
      <c r="U10" s="3994"/>
      <c r="V10" s="3985"/>
      <c r="W10" s="336"/>
      <c r="X10" s="14"/>
    </row>
    <row r="11" spans="1:25" ht="13.5" customHeight="1" thickBot="1">
      <c r="A11" s="15">
        <v>1</v>
      </c>
      <c r="B11" s="16"/>
      <c r="C11" s="17"/>
      <c r="D11" s="18"/>
      <c r="E11" s="18"/>
      <c r="F11" s="19"/>
      <c r="G11" s="19"/>
      <c r="H11" s="19"/>
      <c r="I11" s="19"/>
      <c r="J11" s="19">
        <v>2</v>
      </c>
      <c r="K11" s="1583" t="s">
        <v>493</v>
      </c>
      <c r="L11" s="19">
        <v>3</v>
      </c>
      <c r="M11" s="19">
        <v>4</v>
      </c>
      <c r="N11" s="20">
        <v>5</v>
      </c>
      <c r="O11" s="19">
        <v>6</v>
      </c>
      <c r="P11" s="1190">
        <v>7</v>
      </c>
      <c r="Q11" s="1181">
        <v>8</v>
      </c>
      <c r="R11" s="1550">
        <v>9</v>
      </c>
      <c r="S11" s="19">
        <v>10</v>
      </c>
      <c r="T11" s="1550">
        <v>11</v>
      </c>
      <c r="U11" s="1531">
        <v>12</v>
      </c>
      <c r="V11" s="21">
        <v>13</v>
      </c>
      <c r="X11" s="3964" t="s">
        <v>56</v>
      </c>
      <c r="Y11" s="3965"/>
    </row>
    <row r="12" spans="1:25" s="26" customFormat="1" ht="18.75" customHeight="1">
      <c r="A12" s="22" t="s">
        <v>19</v>
      </c>
      <c r="B12" s="23">
        <f>+B13+B14</f>
        <v>43945192</v>
      </c>
      <c r="C12" s="23">
        <f t="shared" ref="C12:O12" si="0">+C13+C14</f>
        <v>2134685</v>
      </c>
      <c r="D12" s="23">
        <f t="shared" si="0"/>
        <v>10100454</v>
      </c>
      <c r="E12" s="23">
        <f t="shared" si="0"/>
        <v>36628052</v>
      </c>
      <c r="F12" s="23">
        <f t="shared" si="0"/>
        <v>62794493.299999997</v>
      </c>
      <c r="G12" s="23">
        <f t="shared" si="0"/>
        <v>97826451.299999997</v>
      </c>
      <c r="H12" s="23">
        <f t="shared" si="0"/>
        <v>148880214</v>
      </c>
      <c r="I12" s="23">
        <f t="shared" si="0"/>
        <v>208841879</v>
      </c>
      <c r="J12" s="23">
        <f>+J13+J14</f>
        <v>847125661</v>
      </c>
      <c r="K12" s="1584">
        <f t="shared" si="0"/>
        <v>285617690</v>
      </c>
      <c r="L12" s="23">
        <f t="shared" si="0"/>
        <v>220158200</v>
      </c>
      <c r="M12" s="23">
        <f t="shared" si="0"/>
        <v>177936663</v>
      </c>
      <c r="N12" s="23">
        <f t="shared" si="0"/>
        <v>251303374</v>
      </c>
      <c r="O12" s="23">
        <f t="shared" si="0"/>
        <v>187438471</v>
      </c>
      <c r="P12" s="23">
        <f t="shared" ref="P12:Q12" si="1">+P13+P14</f>
        <v>74660246</v>
      </c>
      <c r="Q12" s="23">
        <f t="shared" si="1"/>
        <v>52752231</v>
      </c>
      <c r="R12" s="23">
        <f t="shared" ref="R12:T12" si="2">+R13+R14</f>
        <v>36656133</v>
      </c>
      <c r="S12" s="23">
        <f t="shared" si="2"/>
        <v>34123337</v>
      </c>
      <c r="T12" s="23">
        <f t="shared" si="2"/>
        <v>34288222</v>
      </c>
      <c r="U12" s="1532">
        <f>+U13+U14</f>
        <v>1916442538</v>
      </c>
      <c r="V12" s="24">
        <f>+V13+V14</f>
        <v>849158677</v>
      </c>
      <c r="W12" s="3099"/>
      <c r="X12" s="3100">
        <f>T12+S12+R12+Q12+P12+O12+N12+M12+L12+J12</f>
        <v>1916442538</v>
      </c>
      <c r="Y12" s="3101">
        <f>U12-X12</f>
        <v>0</v>
      </c>
    </row>
    <row r="13" spans="1:25" s="26" customFormat="1" ht="15" customHeight="1">
      <c r="A13" s="27" t="s">
        <v>20</v>
      </c>
      <c r="B13" s="28">
        <f>+'Tab. 6B Polit społ i rozwój prz'!E9+'Tab. 6D - Oświata'!E11+'Tab. 6A -Drogi'!E10+'Tab. 6E - Administracja'!E11+'Tab. 6G - Roln i ochrona środ.'!E10+'Tab. 6H - Kultura fiz. i turyst'!E9+'Tab.6I - Planow. przestrz.'!E10</f>
        <v>28720724</v>
      </c>
      <c r="C13" s="29">
        <f>+'Tab. 6B Polit społ i rozwój prz'!F9+'Tab. 6D - Oświata'!F11+'Tab. 6A -Drogi'!F10+'Tab. 6E - Administracja'!F11+'Tab. 6G - Roln i ochrona środ.'!F10+'Tab. 6H - Kultura fiz. i turyst'!F9+'Tab.6I - Planow. przestrz.'!F10</f>
        <v>2029750</v>
      </c>
      <c r="D13" s="29">
        <f>+'Tab. 6B Polit społ i rozwój prz'!G9+'Tab. 6D - Oświata'!G11+'Tab. 6A -Drogi'!G10+'Tab. 6E - Administracja'!G11+'Tab. 6G - Roln i ochrona środ.'!G10+'Tab. 6H - Kultura fiz. i turyst'!G9+'Tab.6I - Planow. przestrz.'!G10</f>
        <v>9690079</v>
      </c>
      <c r="E13" s="29">
        <f>+'Tab. 6B Polit społ i rozwój prz'!H9+'Tab. 6D - Oświata'!H11+'Tab. 6A -Drogi'!H10+'Tab. 6E - Administracja'!H11+'Tab. 6G - Roln i ochrona środ.'!H10+'Tab. 6H - Kultura fiz. i turyst'!H9+'Tab.6I - Planow. przestrz.'!H10</f>
        <v>19216944</v>
      </c>
      <c r="F13" s="28">
        <f>+'Tab. 6B Polit społ i rozwój prz'!I9+'Tab. 6D - Oświata'!I11+'Tab. 6A -Drogi'!I10+'Tab. 6E - Administracja'!I11+'Tab. 6G - Roln i ochrona środ.'!I10+'Tab. 6H - Kultura fiz. i turyst'!I9+'Tab.6I - Planow. przestrz.'!I10+0.3</f>
        <v>35351195.299999997</v>
      </c>
      <c r="G13" s="28">
        <f>+'Tab. 6B Polit społ i rozwój prz'!J9+'Tab. 6D - Oświata'!J11+'Tab. 6A -Drogi'!J10+'Tab. 6E - Administracja'!J11+'Tab. 6G - Roln i ochrona środ.'!J10+'Tab. 6H - Kultura fiz. i turyst'!J9+'Tab.6I - Planow. przestrz.'!J10+0.3</f>
        <v>28610766.300000001</v>
      </c>
      <c r="H13" s="28">
        <f>+'Tab. 6B Polit społ i rozwój prz'!K9+'Tab. 6D - Oświata'!K11+'Tab. 6A -Drogi'!K10+'Tab. 6E - Administracja'!K11+'Tab. 6G - Roln i ochrona środ.'!K10+'Tab. 6H - Kultura fiz. i turyst'!K9+'Tab.6I - Planow. przestrz.'!K10</f>
        <v>35895504</v>
      </c>
      <c r="I13" s="28">
        <f>+'Tab. 6B Polit społ i rozwój prz'!L9+'Tab. 6D - Oświata'!L11+'Tab. 6A -Drogi'!L10+'Tab. 6E - Administracja'!L11+'Tab. 6G - Roln i ochrona środ.'!L10+'Tab. 6H - Kultura fiz. i turyst'!L9+'Tab.6I - Planow. przestrz.'!L10</f>
        <v>43457589</v>
      </c>
      <c r="J13" s="28">
        <f>+'Tab. 6B Polit społ i rozwój prz'!M9+'Tab. 6D - Oświata'!M11+'Tab. 6A -Drogi'!M10+'Tab. 6E - Administracja'!M11+'Tab. 6G - Roln i ochrona środ.'!M10+'Tab. 6H - Kultura fiz. i turyst'!M9+'Tab.6I - Planow. przestrz.'!M10</f>
        <v>234057116</v>
      </c>
      <c r="K13" s="1585">
        <f>+'Tab. 6B Polit społ i rozwój prz'!N9+'Tab. 6D - Oświata'!N11+'Tab. 6A -Drogi'!N10+'Tab. 6E - Administracja'!N11+'Tab. 6G - Roln i ochrona środ.'!N10+'Tab. 6H - Kultura fiz. i turyst'!N9+'Tab.6I - Planow. przestrz.'!N10</f>
        <v>62801596</v>
      </c>
      <c r="L13" s="28">
        <f>+'Tab. 6B Polit społ i rozwój prz'!O9+'Tab. 6D - Oświata'!O11+'Tab. 6A -Drogi'!O10+'Tab. 6E - Administracja'!O11+'Tab. 6G - Roln i ochrona środ.'!O10+'Tab. 6H - Kultura fiz. i turyst'!O9+'Tab.6I - Planow. przestrz.'!O10</f>
        <v>55414904</v>
      </c>
      <c r="M13" s="28">
        <f>+'Tab. 6B Polit społ i rozwój prz'!P9+'Tab. 6D - Oświata'!P11+'Tab. 6A -Drogi'!P10+'Tab. 6E - Administracja'!P11+'Tab. 6G - Roln i ochrona środ.'!P10+'Tab. 6H - Kultura fiz. i turyst'!P9+'Tab.6I - Planow. przestrz.'!P10</f>
        <v>48879249</v>
      </c>
      <c r="N13" s="28">
        <f>+'Tab. 6B Polit społ i rozwój prz'!Q9+'Tab. 6D - Oświata'!Q11+'Tab. 6A -Drogi'!Q10+'Tab. 6E - Administracja'!Q11+'Tab. 6G - Roln i ochrona środ.'!Q10+'Tab. 6H - Kultura fiz. i turyst'!Q9+'Tab.6I - Planow. przestrz.'!Q10</f>
        <v>49301652</v>
      </c>
      <c r="O13" s="28">
        <f>+'Tab. 6B Polit społ i rozwój prz'!R9+'Tab. 6D - Oświata'!R11+'Tab. 6A -Drogi'!R10+'Tab. 6E - Administracja'!R11+'Tab. 6G - Roln i ochrona środ.'!R10+'Tab. 6H - Kultura fiz. i turyst'!R9+'Tab.6I - Planow. przestrz.'!R10</f>
        <v>47153002</v>
      </c>
      <c r="P13" s="28">
        <f>+'Tab. 6B Polit społ i rozwój prz'!S9+'Tab. 6D - Oświata'!S11+'Tab. 6A -Drogi'!S10+'Tab. 6E - Administracja'!S11+'Tab. 6G - Roln i ochrona środ.'!S10+'Tab. 6H - Kultura fiz. i turyst'!S9+'Tab.6I - Planow. przestrz.'!S10</f>
        <v>40499421</v>
      </c>
      <c r="Q13" s="28">
        <f>+'Tab. 6B Polit społ i rozwój prz'!T9+'Tab. 6D - Oświata'!T11+'Tab. 6A -Drogi'!T10+'Tab. 6E - Administracja'!T11+'Tab. 6G - Roln i ochrona środ.'!T10+'Tab. 6H - Kultura fiz. i turyst'!T9+'Tab.6I - Planow. przestrz.'!T10</f>
        <v>38254506</v>
      </c>
      <c r="R13" s="28">
        <f>+'Tab. 6B Polit społ i rozwój prz'!U9+'Tab. 6D - Oświata'!U11+'Tab. 6A -Drogi'!U10+'Tab. 6E - Administracja'!U11+'Tab. 6G - Roln i ochrona środ.'!U10+'Tab. 6H - Kultura fiz. i turyst'!U9+'Tab.6I - Planow. przestrz.'!U10</f>
        <v>36489108</v>
      </c>
      <c r="S13" s="28">
        <f>+'Tab. 6B Polit społ i rozwój prz'!V9+'Tab. 6D - Oświata'!V11+'Tab. 6A -Drogi'!V10+'Tab. 6E - Administracja'!V11+'Tab. 6G - Roln i ochrona środ.'!V10+'Tab. 6H - Kultura fiz. i turyst'!V9+'Tab.6I - Planow. przestrz.'!V10</f>
        <v>33956312</v>
      </c>
      <c r="T13" s="28">
        <f>+'Tab. 6B Polit społ i rozwój prz'!W9+'Tab. 6D - Oświata'!W11+'Tab. 6A -Drogi'!W10+'Tab. 6E - Administracja'!W11+'Tab. 6G - Roln i ochrona środ.'!W10+'Tab. 6H - Kultura fiz. i turyst'!W9+'Tab.6I - Planow. przestrz.'!W10</f>
        <v>34121197</v>
      </c>
      <c r="U13" s="1533">
        <f>'Tab. 6A -Drogi'!D10+'Tab. 6B Polit społ i rozwój prz'!D9+'Tab. 6D - Oświata'!D11+'Tab. 6E - Administracja'!D11+'Tab. 6G - Roln i ochrona środ.'!D10+'Tab. 6H - Kultura fiz. i turyst'!D9+'Tab.6I - Planow. przestrz.'!D10</f>
        <v>618126467</v>
      </c>
      <c r="V13" s="30">
        <f>SUM(M13:T13)</f>
        <v>328654447</v>
      </c>
      <c r="W13" s="1287">
        <f>V13-M13-N13-O13-P13-Q13-R13-S13-T13</f>
        <v>0</v>
      </c>
      <c r="X13" s="3102">
        <f>T13+S13+R13+Q13+P13+O13+N13+M13+L13+J13</f>
        <v>618126467</v>
      </c>
      <c r="Y13" s="3103">
        <f>U13-X13</f>
        <v>0</v>
      </c>
    </row>
    <row r="14" spans="1:25" s="26" customFormat="1" ht="15" customHeight="1" thickBot="1">
      <c r="A14" s="32" t="s">
        <v>21</v>
      </c>
      <c r="B14" s="33">
        <f>+'Tab. 6D - Oświata'!E12+'Tab. 6A -Drogi'!E11+'Tab. 6E - Administracja'!E12+'Tab. 6G - Roln i ochrona środ.'!E11+'Tab. 6H - Kultura fiz. i turyst'!E10+'Tab. 6B Polit społ i rozwój prz'!E10+'Tab.6I - Planow. przestrz.'!E11</f>
        <v>15224468</v>
      </c>
      <c r="C14" s="34">
        <f>+'Tab. 6D - Oświata'!F12+'Tab. 6A -Drogi'!F11+'Tab. 6E - Administracja'!F12+'Tab. 6G - Roln i ochrona środ.'!F11+'Tab. 6H - Kultura fiz. i turyst'!F10+'Tab.6I - Planow. przestrz.'!F11</f>
        <v>104935</v>
      </c>
      <c r="D14" s="34">
        <f>+'Tab. 6D - Oświata'!G12+'Tab. 6A -Drogi'!G11+'Tab. 6E - Administracja'!G12+'Tab. 6G - Roln i ochrona środ.'!G11+'Tab. 6H - Kultura fiz. i turyst'!G10+'Tab.6I - Planow. przestrz.'!G11</f>
        <v>410375</v>
      </c>
      <c r="E14" s="34">
        <f>+'Tab. 6D - Oświata'!H12+'Tab. 6A -Drogi'!H11+'Tab. 6E - Administracja'!H12+'Tab. 6G - Roln i ochrona środ.'!H11+'Tab. 6H - Kultura fiz. i turyst'!H10+'Tab.6I - Planow. przestrz.'!H11</f>
        <v>17411108</v>
      </c>
      <c r="F14" s="33">
        <f>+'Tab. 6D - Oświata'!I12+'Tab. 6A -Drogi'!I11+'Tab. 6E - Administracja'!I12+'Tab. 6G - Roln i ochrona środ.'!I11+'Tab. 6H - Kultura fiz. i turyst'!I10+'Tab. 6B Polit społ i rozwój prz'!I10+'Tab.6I - Planow. przestrz.'!I11</f>
        <v>27443298</v>
      </c>
      <c r="G14" s="33">
        <f>+'Tab. 6D - Oświata'!J12+'Tab. 6A -Drogi'!J11+'Tab. 6E - Administracja'!J12+'Tab. 6G - Roln i ochrona środ.'!J11+'Tab. 6H - Kultura fiz. i turyst'!J10+'Tab.6I - Planow. przestrz.'!J11+'Tab. 6B Polit społ i rozwój prz'!J10</f>
        <v>69215685</v>
      </c>
      <c r="H14" s="33">
        <f>+'Tab. 6D - Oświata'!K12+'Tab. 6A -Drogi'!K11+'Tab. 6E - Administracja'!K12+'Tab. 6G - Roln i ochrona środ.'!K11+'Tab. 6H - Kultura fiz. i turyst'!K10+'Tab.6I - Planow. przestrz.'!K11+'Tab. 6B Polit społ i rozwój prz'!K10</f>
        <v>112984710</v>
      </c>
      <c r="I14" s="33">
        <f>+'Tab. 6D - Oświata'!L12+'Tab. 6A -Drogi'!L11+'Tab. 6E - Administracja'!L12+'Tab. 6G - Roln i ochrona środ.'!L11+'Tab. 6H - Kultura fiz. i turyst'!L10+'Tab.6I - Planow. przestrz.'!L11+'Tab. 6B Polit społ i rozwój prz'!L10</f>
        <v>165384290</v>
      </c>
      <c r="J14" s="33">
        <f>+'Tab. 6D - Oświata'!M12+'Tab. 6A -Drogi'!M11+'Tab. 6E - Administracja'!M12+'Tab. 6G - Roln i ochrona środ.'!M11+'Tab. 6H - Kultura fiz. i turyst'!M10+'Tab. 6B Polit społ i rozwój prz'!M10+'Tab.6I - Planow. przestrz.'!M11</f>
        <v>613068545</v>
      </c>
      <c r="K14" s="1586">
        <f>+'Tab. 6D - Oświata'!N12+'Tab. 6A -Drogi'!N11+'Tab. 6E - Administracja'!N12+'Tab. 6G - Roln i ochrona środ.'!N11+'Tab. 6H - Kultura fiz. i turyst'!N10+'Tab. 6B Polit społ i rozwój prz'!N10+'Tab.6I - Planow. przestrz.'!N11</f>
        <v>222816094</v>
      </c>
      <c r="L14" s="33">
        <f>+'Tab. 6D - Oświata'!O12+'Tab. 6A -Drogi'!O11+'Tab. 6E - Administracja'!O12+'Tab. 6G - Roln i ochrona środ.'!O11+'Tab. 6H - Kultura fiz. i turyst'!O10+'Tab. 6B Polit społ i rozwój prz'!O10+'Tab.6I - Planow. przestrz.'!O11</f>
        <v>164743296</v>
      </c>
      <c r="M14" s="33">
        <f>+'Tab. 6D - Oświata'!P12+'Tab. 6A -Drogi'!P11+'Tab. 6E - Administracja'!P12+'Tab. 6G - Roln i ochrona środ.'!P11+'Tab. 6H - Kultura fiz. i turyst'!P10+'Tab. 6B Polit społ i rozwój prz'!P10+'Tab.6I - Planow. przestrz.'!P11</f>
        <v>129057414</v>
      </c>
      <c r="N14" s="33">
        <f>+'Tab. 6D - Oświata'!Q12+'Tab. 6A -Drogi'!Q11+'Tab. 6E - Administracja'!Q12+'Tab. 6G - Roln i ochrona środ.'!Q11+'Tab. 6H - Kultura fiz. i turyst'!Q10+'Tab. 6B Polit społ i rozwój prz'!Q10+'Tab.6I - Planow. przestrz.'!Q11</f>
        <v>202001722</v>
      </c>
      <c r="O14" s="33">
        <f>+'Tab. 6D - Oświata'!R12+'Tab. 6A -Drogi'!R11+'Tab. 6E - Administracja'!R12+'Tab. 6G - Roln i ochrona środ.'!R11+'Tab. 6H - Kultura fiz. i turyst'!R10+'Tab. 6B Polit społ i rozwój prz'!R10+'Tab.6I - Planow. przestrz.'!R11</f>
        <v>140285469</v>
      </c>
      <c r="P14" s="33">
        <f>+'Tab. 6D - Oświata'!S12+'Tab. 6A -Drogi'!S11+'Tab. 6E - Administracja'!S12+'Tab. 6G - Roln i ochrona środ.'!S11+'Tab. 6H - Kultura fiz. i turyst'!S10+'Tab. 6B Polit społ i rozwój prz'!S10+'Tab.6I - Planow. przestrz.'!S11</f>
        <v>34160825</v>
      </c>
      <c r="Q14" s="33">
        <f>+'Tab. 6D - Oświata'!T12+'Tab. 6A -Drogi'!T11+'Tab. 6E - Administracja'!T12+'Tab. 6G - Roln i ochrona środ.'!T11+'Tab. 6H - Kultura fiz. i turyst'!T10+'Tab. 6B Polit społ i rozwój prz'!T10+'Tab.6I - Planow. przestrz.'!T11</f>
        <v>14497725</v>
      </c>
      <c r="R14" s="33">
        <f>+'Tab. 6D - Oświata'!U12+'Tab. 6A -Drogi'!U11+'Tab. 6E - Administracja'!U12+'Tab. 6G - Roln i ochrona środ.'!U11+'Tab. 6H - Kultura fiz. i turyst'!U10+'Tab. 6B Polit społ i rozwój prz'!U10+'Tab.6I - Planow. przestrz.'!U11</f>
        <v>167025</v>
      </c>
      <c r="S14" s="33">
        <f>+'Tab. 6D - Oświata'!V12+'Tab. 6A -Drogi'!V11+'Tab. 6E - Administracja'!V12+'Tab. 6G - Roln i ochrona środ.'!V11+'Tab. 6H - Kultura fiz. i turyst'!V10+'Tab. 6B Polit społ i rozwój prz'!V10+'Tab.6I - Planow. przestrz.'!V11</f>
        <v>167025</v>
      </c>
      <c r="T14" s="33">
        <f>+'Tab. 6D - Oświata'!W12+'Tab. 6A -Drogi'!W11+'Tab. 6E - Administracja'!W12+'Tab. 6G - Roln i ochrona środ.'!W11+'Tab. 6H - Kultura fiz. i turyst'!W10+'Tab. 6B Polit społ i rozwój prz'!W10+'Tab.6I - Planow. przestrz.'!W11</f>
        <v>167025</v>
      </c>
      <c r="U14" s="1534">
        <f>'Tab. 6A -Drogi'!D11+'Tab. 6B Polit społ i rozwój prz'!D10+'Tab. 6D - Oświata'!D12+'Tab. 6E - Administracja'!D12+'Tab. 6G - Roln i ochrona środ.'!D11+'Tab. 6H - Kultura fiz. i turyst'!D10+'Tab.6I - Planow. przestrz.'!D11</f>
        <v>1298316071</v>
      </c>
      <c r="V14" s="35">
        <f>SUM(M14:T14)</f>
        <v>520504230</v>
      </c>
      <c r="W14" s="1287">
        <f>V14-M14-N14-O14-P14-Q14-R14-S14-T14</f>
        <v>0</v>
      </c>
      <c r="X14" s="3102">
        <f>T14+S14+R14+Q14+P14+O14+N14+M14+L14+J14</f>
        <v>1298316071</v>
      </c>
      <c r="Y14" s="3103">
        <f>U14-X14</f>
        <v>0</v>
      </c>
    </row>
    <row r="15" spans="1:25" s="39" customFormat="1" ht="20.25" customHeight="1">
      <c r="A15" s="36"/>
      <c r="B15" s="37"/>
      <c r="C15" s="37"/>
      <c r="D15" s="37"/>
      <c r="E15" s="37"/>
      <c r="F15" s="37"/>
      <c r="G15" s="37"/>
      <c r="H15" s="37"/>
      <c r="I15" s="37"/>
      <c r="J15" s="3104"/>
      <c r="K15" s="3104"/>
      <c r="L15" s="3104"/>
      <c r="M15" s="3104"/>
      <c r="N15" s="3104"/>
      <c r="O15" s="3104"/>
      <c r="P15" s="3104"/>
      <c r="Q15" s="3104"/>
      <c r="R15" s="3104"/>
      <c r="S15" s="3104"/>
      <c r="T15" s="3104"/>
      <c r="U15" s="3104"/>
      <c r="V15" s="3104"/>
      <c r="W15" s="31"/>
      <c r="X15" s="3102">
        <f t="shared" ref="X15:X30" si="3">T15+S15+R15+Q15+P15+O15+N15+M15+L15+J15</f>
        <v>0</v>
      </c>
      <c r="Y15" s="3103">
        <f t="shared" ref="Y15:Y30" si="4">U15-X15</f>
        <v>0</v>
      </c>
    </row>
    <row r="16" spans="1:25" s="46" customFormat="1" ht="18" customHeight="1">
      <c r="A16" s="40" t="s">
        <v>22</v>
      </c>
      <c r="B16" s="41" t="e">
        <f t="shared" ref="B16:V16" si="5">+B17+B25</f>
        <v>#REF!</v>
      </c>
      <c r="C16" s="41" t="e">
        <f t="shared" si="5"/>
        <v>#REF!</v>
      </c>
      <c r="D16" s="42" t="e">
        <f t="shared" si="5"/>
        <v>#REF!</v>
      </c>
      <c r="E16" s="42" t="e">
        <f t="shared" si="5"/>
        <v>#REF!</v>
      </c>
      <c r="F16" s="42" t="e">
        <f t="shared" si="5"/>
        <v>#REF!</v>
      </c>
      <c r="G16" s="42" t="e">
        <f t="shared" si="5"/>
        <v>#REF!</v>
      </c>
      <c r="H16" s="42" t="e">
        <f t="shared" si="5"/>
        <v>#REF!</v>
      </c>
      <c r="I16" s="42" t="e">
        <f t="shared" si="5"/>
        <v>#REF!</v>
      </c>
      <c r="J16" s="42">
        <f t="shared" si="5"/>
        <v>847125661.29999995</v>
      </c>
      <c r="K16" s="1588">
        <f t="shared" si="5"/>
        <v>285617690</v>
      </c>
      <c r="L16" s="42">
        <f t="shared" si="5"/>
        <v>220158200</v>
      </c>
      <c r="M16" s="42">
        <f t="shared" si="5"/>
        <v>178667364</v>
      </c>
      <c r="N16" s="42">
        <f t="shared" si="5"/>
        <v>252036394</v>
      </c>
      <c r="O16" s="42">
        <f t="shared" si="5"/>
        <v>188062705</v>
      </c>
      <c r="P16" s="42">
        <f t="shared" si="5"/>
        <v>75131719</v>
      </c>
      <c r="Q16" s="42">
        <f t="shared" si="5"/>
        <v>53223703</v>
      </c>
      <c r="R16" s="42">
        <f t="shared" si="5"/>
        <v>37127605</v>
      </c>
      <c r="S16" s="42">
        <f t="shared" si="5"/>
        <v>34594809</v>
      </c>
      <c r="T16" s="42">
        <f t="shared" si="5"/>
        <v>34759694</v>
      </c>
      <c r="U16" s="90">
        <f>+U17+U25</f>
        <v>1920887854.3</v>
      </c>
      <c r="V16" s="43">
        <f t="shared" si="5"/>
        <v>167622382</v>
      </c>
      <c r="W16" s="1287"/>
      <c r="X16" s="3102">
        <f>T16+S16+R16+Q16+P16+O16+N16+M16+L16+J16</f>
        <v>1920887854.3</v>
      </c>
      <c r="Y16" s="3103">
        <f>U16-X16</f>
        <v>0</v>
      </c>
    </row>
    <row r="17" spans="1:25" s="50" customFormat="1" ht="17.25" customHeight="1">
      <c r="A17" s="47" t="s">
        <v>23</v>
      </c>
      <c r="B17" s="48" t="e">
        <f>SUM(B18:B23)</f>
        <v>#REF!</v>
      </c>
      <c r="C17" s="48" t="e">
        <f t="shared" ref="C17:I17" si="6">SUM(C18:C23)</f>
        <v>#REF!</v>
      </c>
      <c r="D17" s="48" t="e">
        <f t="shared" si="6"/>
        <v>#REF!</v>
      </c>
      <c r="E17" s="48" t="e">
        <f t="shared" si="6"/>
        <v>#REF!</v>
      </c>
      <c r="F17" s="48" t="e">
        <f t="shared" si="6"/>
        <v>#REF!</v>
      </c>
      <c r="G17" s="48" t="e">
        <f t="shared" si="6"/>
        <v>#REF!</v>
      </c>
      <c r="H17" s="48" t="e">
        <f t="shared" si="6"/>
        <v>#REF!</v>
      </c>
      <c r="I17" s="48" t="e">
        <f t="shared" si="6"/>
        <v>#REF!</v>
      </c>
      <c r="J17" s="48">
        <f t="shared" ref="J17:V17" si="7">SUM(J18:J24)</f>
        <v>174205348.30000001</v>
      </c>
      <c r="K17" s="1589">
        <f t="shared" si="7"/>
        <v>42953894</v>
      </c>
      <c r="L17" s="48">
        <f t="shared" si="7"/>
        <v>26788043</v>
      </c>
      <c r="M17" s="48">
        <f t="shared" si="7"/>
        <v>46803780</v>
      </c>
      <c r="N17" s="48">
        <f t="shared" si="7"/>
        <v>43702244</v>
      </c>
      <c r="O17" s="48">
        <f t="shared" si="7"/>
        <v>35843070</v>
      </c>
      <c r="P17" s="48">
        <f t="shared" si="7"/>
        <v>12665718</v>
      </c>
      <c r="Q17" s="48">
        <f t="shared" si="7"/>
        <v>8907366</v>
      </c>
      <c r="R17" s="48">
        <f t="shared" si="7"/>
        <v>6553086</v>
      </c>
      <c r="S17" s="48">
        <f t="shared" si="7"/>
        <v>4354260</v>
      </c>
      <c r="T17" s="48">
        <f t="shared" si="7"/>
        <v>4416948</v>
      </c>
      <c r="U17" s="1536">
        <f>SUM(U18:U24)</f>
        <v>364239863.30000001</v>
      </c>
      <c r="V17" s="49">
        <f t="shared" si="7"/>
        <v>158801156</v>
      </c>
      <c r="W17" s="1287"/>
      <c r="X17" s="3102">
        <f>T17+S17+R17+Q17+P17+O17+N17+M17+L17+J17</f>
        <v>364239863.30000001</v>
      </c>
      <c r="Y17" s="3103">
        <f t="shared" si="4"/>
        <v>0</v>
      </c>
    </row>
    <row r="18" spans="1:25" s="39" customFormat="1" ht="14.25" customHeight="1">
      <c r="A18" s="51" t="s">
        <v>24</v>
      </c>
      <c r="B18" s="52" t="e">
        <f>+'Tab. 6B Polit społ i rozwój prz'!E13+'Tab. 6D - Oświata'!E15+'Tab. 6A -Drogi'!E14+'Tab. 6E - Administracja'!E15+'Tab. 6G - Roln i ochrona środ.'!E14+'Tab. 6H - Kultura fiz. i turyst'!E13+'Tab.6I - Planow. przestrz.'!E14</f>
        <v>#REF!</v>
      </c>
      <c r="C18" s="52" t="e">
        <f>+'Tab. 6B Polit społ i rozwój prz'!F13+'Tab. 6D - Oświata'!F15+'Tab. 6A -Drogi'!F14+'Tab. 6E - Administracja'!F15+'Tab. 6G - Roln i ochrona środ.'!F14+'Tab. 6H - Kultura fiz. i turyst'!F13+'Tab.6I - Planow. przestrz.'!F14</f>
        <v>#REF!</v>
      </c>
      <c r="D18" s="52" t="e">
        <f>+'Tab. 6B Polit społ i rozwój prz'!G13+'Tab. 6D - Oświata'!G15+'Tab. 6A -Drogi'!G14+'Tab. 6E - Administracja'!G15+'Tab. 6G - Roln i ochrona środ.'!G14+'Tab. 6H - Kultura fiz. i turyst'!G13+'Tab.6I - Planow. przestrz.'!G14</f>
        <v>#REF!</v>
      </c>
      <c r="E18" s="52" t="e">
        <f>+'Tab. 6B Polit społ i rozwój prz'!H13+'Tab. 6D - Oświata'!H15+'Tab. 6A -Drogi'!H14+'Tab. 6E - Administracja'!H15+'Tab. 6G - Roln i ochrona środ.'!H14+'Tab. 6H - Kultura fiz. i turyst'!H13+'Tab.6I - Planow. przestrz.'!H14</f>
        <v>#REF!</v>
      </c>
      <c r="F18" s="52" t="e">
        <f>+'Tab. 6B Polit społ i rozwój prz'!I13+'Tab. 6D - Oświata'!I15+'Tab. 6A -Drogi'!I14+'Tab. 6E - Administracja'!I15+'Tab. 6G - Roln i ochrona środ.'!I14+'Tab. 6H - Kultura fiz. i turyst'!I13+'Tab.6I - Planow. przestrz.'!I14</f>
        <v>#REF!</v>
      </c>
      <c r="G18" s="52" t="e">
        <f>+'Tab. 6B Polit społ i rozwój prz'!J13+'Tab. 6D - Oświata'!J15+'Tab. 6A -Drogi'!J14+'Tab. 6E - Administracja'!J15+'Tab. 6G - Roln i ochrona środ.'!J14+'Tab. 6H - Kultura fiz. i turyst'!J13+'Tab.6I - Planow. przestrz.'!J14</f>
        <v>#REF!</v>
      </c>
      <c r="H18" s="52" t="e">
        <f>+'Tab. 6B Polit społ i rozwój prz'!K13+'Tab. 6D - Oświata'!K15+'Tab. 6A -Drogi'!K14+'Tab. 6E - Administracja'!K15+'Tab. 6G - Roln i ochrona środ.'!K14+'Tab. 6H - Kultura fiz. i turyst'!K13+'Tab.6I - Planow. przestrz.'!K14</f>
        <v>#REF!</v>
      </c>
      <c r="I18" s="52" t="e">
        <f>+'Tab. 6B Polit społ i rozwój prz'!L13+'Tab. 6D - Oświata'!L15+'Tab. 6A -Drogi'!L14+'Tab. 6E - Administracja'!L15+'Tab. 6G - Roln i ochrona środ.'!L14+'Tab. 6H - Kultura fiz. i turyst'!L13+'Tab.6I - Planow. przestrz.'!L14+0.3</f>
        <v>#REF!</v>
      </c>
      <c r="J18" s="52">
        <f>+'Tab. 6B Polit społ i rozwój prz'!M13+'Tab. 6D - Oświata'!M15+'Tab. 6A -Drogi'!M14+'Tab. 6E - Administracja'!M15+'Tab. 6G - Roln i ochrona środ.'!M14+'Tab. 6H - Kultura fiz. i turyst'!M13+'Tab.6I - Planow. przestrz.'!M14+0.3</f>
        <v>33702172.299999997</v>
      </c>
      <c r="K18" s="1590">
        <f>+'Tab. 6B Polit społ i rozwój prz'!N13+'Tab. 6D - Oświata'!N15+'Tab. 6A -Drogi'!N14+'Tab. 6E - Administracja'!N15+'Tab. 6G - Roln i ochrona środ.'!N14+'Tab. 6H - Kultura fiz. i turyst'!N13+'Tab.6I - Planow. przestrz.'!N14</f>
        <v>8647200</v>
      </c>
      <c r="L18" s="52">
        <f>+'Tab. 6B Polit społ i rozwój prz'!O13+'Tab. 6D - Oświata'!O15+'Tab. 6A -Drogi'!O14+'Tab. 6E - Administracja'!O15+'Tab. 6G - Roln i ochrona środ.'!O14+'Tab. 6H - Kultura fiz. i turyst'!O13+'Tab.6I - Planow. przestrz.'!O14</f>
        <v>6554205</v>
      </c>
      <c r="M18" s="52">
        <f>+'Tab. 6B Polit społ i rozwój prz'!P13+'Tab. 6D - Oświata'!P15+'Tab. 6A -Drogi'!P14+'Tab. 6E - Administracja'!P15+'Tab. 6G - Roln i ochrona środ.'!P14+'Tab. 6H - Kultura fiz. i turyst'!P13+'Tab.6I - Planow. przestrz.'!P14</f>
        <v>31462696</v>
      </c>
      <c r="N18" s="52">
        <f>+'Tab. 6B Polit społ i rozwój prz'!Q13+'Tab. 6D - Oświata'!Q15+'Tab. 6A -Drogi'!Q14+'Tab. 6E - Administracja'!Q15+'Tab. 6G - Roln i ochrona środ.'!Q14+'Tab. 6H - Kultura fiz. i turyst'!Q13+'Tab.6I - Planow. przestrz.'!Q14</f>
        <v>18363978</v>
      </c>
      <c r="O18" s="52">
        <f>+'Tab. 6B Polit społ i rozwój prz'!R13+'Tab. 6D - Oświata'!R15+'Tab. 6A -Drogi'!R14+'Tab. 6E - Administracja'!R15+'Tab. 6G - Roln i ochrona środ.'!R14+'Tab. 6H - Kultura fiz. i turyst'!R13+'Tab.6I - Planow. przestrz.'!R14</f>
        <v>25119742</v>
      </c>
      <c r="P18" s="52">
        <f>+'Tab. 6B Polit społ i rozwój prz'!S13+'Tab. 6D - Oświata'!S15+'Tab. 6A -Drogi'!S14+'Tab. 6E - Administracja'!S15+'Tab. 6G - Roln i ochrona środ.'!S14+'Tab. 6H - Kultura fiz. i turyst'!S13+'Tab.6I - Planow. przestrz.'!S14</f>
        <v>7731795</v>
      </c>
      <c r="Q18" s="52">
        <f>+'Tab. 6B Polit społ i rozwój prz'!T13+'Tab. 6D - Oświata'!T15+'Tab. 6A -Drogi'!T14+'Tab. 6E - Administracja'!T15+'Tab. 6G - Roln i ochrona środ.'!T14+'Tab. 6H - Kultura fiz. i turyst'!T13+'Tab.6I - Planow. przestrz.'!T14</f>
        <v>6831394</v>
      </c>
      <c r="R18" s="52">
        <f>+'Tab. 6B Polit społ i rozwój prz'!U13+'Tab. 6D - Oświata'!U15+'Tab. 6A -Drogi'!U14+'Tab. 6E - Administracja'!U15+'Tab. 6G - Roln i ochrona środ.'!U14+'Tab. 6H - Kultura fiz. i turyst'!U13+'Tab.6I - Planow. przestrz.'!U14</f>
        <v>6081614</v>
      </c>
      <c r="S18" s="52">
        <f>+'Tab. 6B Polit społ i rozwój prz'!V13+'Tab. 6D - Oświata'!V15+'Tab. 6A -Drogi'!V14+'Tab. 6E - Administracja'!V15+'Tab. 6G - Roln i ochrona środ.'!V14+'Tab. 6H - Kultura fiz. i turyst'!V13+'Tab.6I - Planow. przestrz.'!V14</f>
        <v>3882788</v>
      </c>
      <c r="T18" s="52">
        <f>+'Tab. 6B Polit społ i rozwój prz'!W13+'Tab. 6D - Oświata'!W15+'Tab. 6A -Drogi'!W14+'Tab. 6E - Administracja'!W15+'Tab. 6G - Roln i ochrona środ.'!W14+'Tab. 6H - Kultura fiz. i turyst'!W13+'Tab.6I - Planow. przestrz.'!W14</f>
        <v>3945476</v>
      </c>
      <c r="U18" s="1537">
        <f>J18+L18+M18+N18+O18+P18+Q18+R18+S18+T18</f>
        <v>143675860.30000001</v>
      </c>
      <c r="V18" s="30">
        <f>SUM(M18:T18)</f>
        <v>103419483</v>
      </c>
      <c r="W18" s="1287"/>
      <c r="X18" s="3102">
        <f t="shared" si="3"/>
        <v>143675860.30000001</v>
      </c>
      <c r="Y18" s="3103">
        <f t="shared" si="4"/>
        <v>0</v>
      </c>
    </row>
    <row r="19" spans="1:25" s="39" customFormat="1" ht="15.75" customHeight="1">
      <c r="A19" s="54" t="s">
        <v>25</v>
      </c>
      <c r="B19" s="52">
        <f>+'Tab. 6B Polit społ i rozwój prz'!E14+'Tab. 6A -Drogi'!E15+'Tab. 6E - Administracja'!E16+'Tab. 6G - Roln i ochrona środ.'!E15</f>
        <v>66154</v>
      </c>
      <c r="C19" s="52">
        <f>+'Tab. 6B Polit społ i rozwój prz'!F14+'Tab. 6A -Drogi'!F15+'Tab. 6E - Administracja'!F16+'Tab. 6G - Roln i ochrona środ.'!F15</f>
        <v>2052</v>
      </c>
      <c r="D19" s="52">
        <f>+'Tab. 6B Polit społ i rozwój prz'!G14+'Tab. 6A -Drogi'!G15+'Tab. 6E - Administracja'!G16+'Tab. 6G - Roln i ochrona środ.'!G15</f>
        <v>116662</v>
      </c>
      <c r="E19" s="52">
        <f>+'Tab. 6B Polit społ i rozwój prz'!H14+'Tab. 6A -Drogi'!H15+'Tab. 6E - Administracja'!H16+'Tab. 6G - Roln i ochrona środ.'!H15</f>
        <v>246992</v>
      </c>
      <c r="F19" s="52">
        <f>+'Tab. 6B Polit społ i rozwój prz'!I14+'Tab. 6A -Drogi'!I15+'Tab. 6E - Administracja'!I16+'Tab. 6G - Roln i ochrona środ.'!I15</f>
        <v>78146</v>
      </c>
      <c r="G19" s="52">
        <f>+'Tab. 6B Polit społ i rozwój prz'!J14+'Tab. 6A -Drogi'!J15+'Tab. 6E - Administracja'!J16+'Tab. 6G - Roln i ochrona środ.'!J15</f>
        <v>278764</v>
      </c>
      <c r="H19" s="52">
        <f>+'Tab. 6B Polit społ i rozwój prz'!K14+'Tab. 6A -Drogi'!K15+'Tab. 6E - Administracja'!K16+'Tab. 6G - Roln i ochrona środ.'!K15</f>
        <v>482019</v>
      </c>
      <c r="I19" s="52">
        <f>+'Tab. 6B Polit społ i rozwój prz'!L14+'Tab. 6A -Drogi'!L15+'Tab. 6E - Administracja'!L16+'Tab. 6G - Roln i ochrona środ.'!L15</f>
        <v>809522</v>
      </c>
      <c r="J19" s="52">
        <f>+'Tab. 6B Polit społ i rozwój prz'!M14+'Tab. 6A -Drogi'!M15+'Tab. 6E - Administracja'!M16+'Tab. 6G - Roln i ochrona środ.'!M15</f>
        <v>10112927</v>
      </c>
      <c r="K19" s="1590">
        <f>+'Tab. 6B Polit społ i rozwój prz'!N14+'Tab. 6A -Drogi'!N15+'Tab. 6E - Administracja'!N16+'Tab. 6G - Roln i ochrona środ.'!N15</f>
        <v>8444744</v>
      </c>
      <c r="L19" s="52">
        <f>+'Tab. 6B Polit społ i rozwój prz'!O14+'Tab. 6A -Drogi'!O15+'Tab. 6E - Administracja'!O16+'Tab. 6G - Roln i ochrona środ.'!O15</f>
        <v>9160572</v>
      </c>
      <c r="M19" s="52">
        <f>+'Tab. 6B Polit społ i rozwój prz'!P14+'Tab. 6A -Drogi'!P15+'Tab. 6E - Administracja'!P16+'Tab. 6G - Roln i ochrona środ.'!P15</f>
        <v>2510740</v>
      </c>
      <c r="N19" s="52">
        <f>+'Tab. 6B Polit społ i rozwój prz'!Q14+'Tab. 6A -Drogi'!Q15+'Tab. 6E - Administracja'!Q16+'Tab. 6G - Roln i ochrona środ.'!Q15</f>
        <v>1856905</v>
      </c>
      <c r="O19" s="52">
        <f>+'Tab. 6B Polit społ i rozwój prz'!R14+'Tab. 6A -Drogi'!R15+'Tab. 6E - Administracja'!R16+'Tab. 6G - Roln i ochrona środ.'!R15</f>
        <v>1402509</v>
      </c>
      <c r="P19" s="52">
        <f>+'Tab. 6B Polit społ i rozwój prz'!S14+'Tab. 6A -Drogi'!S15+'Tab. 6E - Administracja'!S16+'Tab. 6G - Roln i ochrona środ.'!S15</f>
        <v>1134250</v>
      </c>
      <c r="Q19" s="52">
        <f>+'Tab. 6B Polit społ i rozwój prz'!T14+'Tab. 6A -Drogi'!T15+'Tab. 6E - Administracja'!T16+'Tab. 6G - Roln i ochrona środ.'!T15</f>
        <v>210000</v>
      </c>
      <c r="R19" s="55">
        <f>+'Tab. 6B Polit społ i rozwój prz'!U14+'Tab. 6A -Drogi'!U15+'Tab. 6E - Administracja'!U16+'Tab. 6G - Roln i ochrona środ.'!U15</f>
        <v>0</v>
      </c>
      <c r="S19" s="55">
        <f>+'Tab. 6B Polit społ i rozwój prz'!V14+'Tab. 6A -Drogi'!V15+'Tab. 6E - Administracja'!V16+'Tab. 6G - Roln i ochrona środ.'!V15</f>
        <v>0</v>
      </c>
      <c r="T19" s="55">
        <f>+'Tab. 6B Polit społ i rozwój prz'!W14+'Tab. 6A -Drogi'!W15+'Tab. 6E - Administracja'!W16+'Tab. 6G - Roln i ochrona środ.'!W15</f>
        <v>0</v>
      </c>
      <c r="U19" s="1537">
        <f t="shared" ref="U19:U24" si="8">J19+L19+M19+N19+O19+P19+Q19+R19+S19+T19</f>
        <v>26387903</v>
      </c>
      <c r="V19" s="30">
        <f t="shared" ref="V19:V23" si="9">SUM(M19:T19)</f>
        <v>7114404</v>
      </c>
      <c r="W19" s="1287"/>
      <c r="X19" s="3102">
        <f t="shared" si="3"/>
        <v>26387903</v>
      </c>
      <c r="Y19" s="3103">
        <f t="shared" si="4"/>
        <v>0</v>
      </c>
    </row>
    <row r="20" spans="1:25" s="39" customFormat="1" ht="13.5" customHeight="1">
      <c r="A20" s="54" t="s">
        <v>26</v>
      </c>
      <c r="B20" s="52">
        <f>+'Tab. 6G - Roln i ochrona środ.'!E16</f>
        <v>5935894</v>
      </c>
      <c r="C20" s="52">
        <f>+'Tab. 6G - Roln i ochrona środ.'!F16</f>
        <v>0</v>
      </c>
      <c r="D20" s="52">
        <f>+'Tab. 6G - Roln i ochrona środ.'!G16</f>
        <v>0</v>
      </c>
      <c r="E20" s="52">
        <f>+'Tab. 6G - Roln i ochrona środ.'!H16</f>
        <v>6647405</v>
      </c>
      <c r="F20" s="52">
        <f>+'Tab. 6G - Roln i ochrona środ.'!I16</f>
        <v>10285500</v>
      </c>
      <c r="G20" s="52">
        <f>+'Tab. 6G - Roln i ochrona środ.'!J16</f>
        <v>12796084</v>
      </c>
      <c r="H20" s="52">
        <f>+'Tab. 6G - Roln i ochrona środ.'!K16</f>
        <v>12744811</v>
      </c>
      <c r="I20" s="52">
        <f>+'Tab. 6G - Roln i ochrona środ.'!L16</f>
        <v>9659941</v>
      </c>
      <c r="J20" s="52">
        <f>+'Tab. 6G - Roln i ochrona środ.'!M16</f>
        <v>61103761</v>
      </c>
      <c r="K20" s="1590">
        <f>+'Tab. 6G - Roln i ochrona środ.'!N16</f>
        <v>9681531</v>
      </c>
      <c r="L20" s="52">
        <f>+'Tab. 6G - Roln i ochrona środ.'!O16</f>
        <v>4128235</v>
      </c>
      <c r="M20" s="55">
        <f>+'Tab. 6G - Roln i ochrona środ.'!P16</f>
        <v>0</v>
      </c>
      <c r="N20" s="55">
        <f>+'Tab. 6G - Roln i ochrona środ.'!Q16</f>
        <v>0</v>
      </c>
      <c r="O20" s="55">
        <f>+'Tab. 6G - Roln i ochrona środ.'!R16</f>
        <v>0</v>
      </c>
      <c r="P20" s="55">
        <f>+'Tab. 6G - Roln i ochrona środ.'!S16</f>
        <v>0</v>
      </c>
      <c r="Q20" s="55">
        <f>+'Tab. 6G - Roln i ochrona środ.'!T16</f>
        <v>0</v>
      </c>
      <c r="R20" s="55">
        <f>+'Tab. 6G - Roln i ochrona środ.'!U16</f>
        <v>0</v>
      </c>
      <c r="S20" s="55">
        <f>+'Tab. 6G - Roln i ochrona środ.'!V16</f>
        <v>0</v>
      </c>
      <c r="T20" s="55">
        <f>+'Tab. 6G - Roln i ochrona środ.'!W16</f>
        <v>0</v>
      </c>
      <c r="U20" s="1537">
        <f t="shared" si="8"/>
        <v>65231996</v>
      </c>
      <c r="V20" s="30">
        <f t="shared" si="9"/>
        <v>0</v>
      </c>
      <c r="W20" s="1287"/>
      <c r="X20" s="3102">
        <f t="shared" si="3"/>
        <v>65231996</v>
      </c>
      <c r="Y20" s="3103">
        <f t="shared" si="4"/>
        <v>0</v>
      </c>
    </row>
    <row r="21" spans="1:25" s="39" customFormat="1" ht="15.75" customHeight="1">
      <c r="A21" s="54" t="s">
        <v>27</v>
      </c>
      <c r="B21" s="56">
        <f>+'Tab. 6A -Drogi'!E16</f>
        <v>0</v>
      </c>
      <c r="C21" s="56">
        <f>+'Tab. 6A -Drogi'!F16</f>
        <v>0</v>
      </c>
      <c r="D21" s="56">
        <f>+'Tab. 6A -Drogi'!G16</f>
        <v>0</v>
      </c>
      <c r="E21" s="56">
        <f>+'Tab. 6A -Drogi'!H16</f>
        <v>0</v>
      </c>
      <c r="F21" s="56">
        <f>+'Tab. 6A -Drogi'!I16</f>
        <v>0</v>
      </c>
      <c r="G21" s="56">
        <f>+'Tab. 6A -Drogi'!J16</f>
        <v>2000000</v>
      </c>
      <c r="H21" s="56">
        <f>+'Tab. 6A -Drogi'!K16</f>
        <v>5514464</v>
      </c>
      <c r="I21" s="56">
        <f>+'Tab. 6A -Drogi'!L16</f>
        <v>0</v>
      </c>
      <c r="J21" s="56">
        <f>+'Tab. 6A -Drogi'!M16</f>
        <v>8514464</v>
      </c>
      <c r="K21" s="1591">
        <f>+'Tab. 6A -Drogi'!N16</f>
        <v>1000000</v>
      </c>
      <c r="L21" s="57">
        <f>+'Tab. 6A -Drogi'!O16</f>
        <v>0</v>
      </c>
      <c r="M21" s="57">
        <f>+'Tab. 6A -Drogi'!P16</f>
        <v>0</v>
      </c>
      <c r="N21" s="57">
        <f>+'Tab. 6A -Drogi'!Q16</f>
        <v>0</v>
      </c>
      <c r="O21" s="57">
        <f>+'Tab. 6A -Drogi'!R16</f>
        <v>0</v>
      </c>
      <c r="P21" s="57">
        <f>+'Tab. 6A -Drogi'!S16</f>
        <v>0</v>
      </c>
      <c r="Q21" s="57">
        <f>+'Tab. 6A -Drogi'!T16</f>
        <v>0</v>
      </c>
      <c r="R21" s="57">
        <f>+'Tab. 6A -Drogi'!U16</f>
        <v>0</v>
      </c>
      <c r="S21" s="57">
        <f>+'Tab. 6A -Drogi'!V16</f>
        <v>0</v>
      </c>
      <c r="T21" s="57">
        <f>+'Tab. 6A -Drogi'!W16</f>
        <v>0</v>
      </c>
      <c r="U21" s="1537">
        <f t="shared" si="8"/>
        <v>8514464</v>
      </c>
      <c r="V21" s="30">
        <f t="shared" si="9"/>
        <v>0</v>
      </c>
      <c r="W21" s="1287"/>
      <c r="X21" s="3102">
        <f t="shared" si="3"/>
        <v>8514464</v>
      </c>
      <c r="Y21" s="3103">
        <f t="shared" si="4"/>
        <v>0</v>
      </c>
    </row>
    <row r="22" spans="1:25" s="39" customFormat="1" ht="15.75" customHeight="1">
      <c r="A22" s="54" t="s">
        <v>28</v>
      </c>
      <c r="B22" s="58">
        <f>+'Tab. 6A -Drogi'!E17+'Tab. 6G - Roln i ochrona środ.'!E17</f>
        <v>0</v>
      </c>
      <c r="C22" s="58">
        <f>+'Tab. 6A -Drogi'!F17+'Tab. 6G - Roln i ochrona środ.'!F17</f>
        <v>0</v>
      </c>
      <c r="D22" s="58">
        <f>+'Tab. 6A -Drogi'!G17+'Tab. 6G - Roln i ochrona środ.'!G17</f>
        <v>0</v>
      </c>
      <c r="E22" s="58">
        <f>+'Tab. 6A -Drogi'!H17+'Tab. 6G - Roln i ochrona środ.'!H17</f>
        <v>0</v>
      </c>
      <c r="F22" s="58">
        <f>+'Tab. 6A -Drogi'!I17+'Tab. 6G - Roln i ochrona środ.'!I17</f>
        <v>0</v>
      </c>
      <c r="G22" s="58">
        <f>+'Tab. 6A -Drogi'!J17+'Tab. 6G - Roln i ochrona środ.'!J17</f>
        <v>0</v>
      </c>
      <c r="H22" s="59">
        <f>+'Tab. 6A -Drogi'!K17+'Tab. 6G - Roln i ochrona środ.'!K17</f>
        <v>3801777</v>
      </c>
      <c r="I22" s="59">
        <f>+'Tab. 6A -Drogi'!L17+'Tab. 6G - Roln i ochrona środ.'!L17</f>
        <v>13701339</v>
      </c>
      <c r="J22" s="59">
        <f>+'Tab. 6A -Drogi'!M17+'Tab. 6G - Roln i ochrona środ.'!M17+'Tab. 6E - Administracja'!M17</f>
        <v>31089366</v>
      </c>
      <c r="K22" s="59">
        <f>+'Tab. 6A -Drogi'!N17+'Tab. 6G - Roln i ochrona środ.'!N17+'Tab. 6E - Administracja'!N17</f>
        <v>13586250</v>
      </c>
      <c r="L22" s="59">
        <f>+'Tab. 6A -Drogi'!O17+'Tab. 6G - Roln i ochrona środ.'!O17+'Tab. 6E - Administracja'!O17</f>
        <v>6942000</v>
      </c>
      <c r="M22" s="59">
        <f>+'Tab. 6A -Drogi'!P17+'Tab. 6G - Roln i ochrona środ.'!P17+'Tab. 6E - Administracja'!P17</f>
        <v>12099643</v>
      </c>
      <c r="N22" s="59">
        <f>+'Tab. 6A -Drogi'!Q17+'Tab. 6G - Roln i ochrona środ.'!Q17+'Tab. 6E - Administracja'!Q17</f>
        <v>22748341</v>
      </c>
      <c r="O22" s="59">
        <f>+'Tab. 6A -Drogi'!R17+'Tab. 6G - Roln i ochrona środ.'!R17+'Tab. 6E - Administracja'!R17</f>
        <v>8696585</v>
      </c>
      <c r="P22" s="59">
        <f>+'Tab. 6A -Drogi'!S17+'Tab. 6G - Roln i ochrona środ.'!S17+'Tab. 6E - Administracja'!S17</f>
        <v>3328200</v>
      </c>
      <c r="Q22" s="59">
        <f>+'Tab. 6A -Drogi'!T17+'Tab. 6G - Roln i ochrona środ.'!T17+'Tab. 6E - Administracja'!T17</f>
        <v>1394500</v>
      </c>
      <c r="R22" s="59">
        <f>+'Tab. 6A -Drogi'!U17+'Tab. 6G - Roln i ochrona środ.'!U17+'Tab. 6E - Administracja'!U17</f>
        <v>0</v>
      </c>
      <c r="S22" s="59">
        <f>+'Tab. 6A -Drogi'!V17+'Tab. 6G - Roln i ochrona środ.'!V17+'Tab. 6E - Administracja'!V17</f>
        <v>0</v>
      </c>
      <c r="T22" s="59">
        <f>+'Tab. 6A -Drogi'!W17+'Tab. 6G - Roln i ochrona środ.'!W17+'Tab. 6E - Administracja'!W17</f>
        <v>0</v>
      </c>
      <c r="U22" s="1537">
        <f>J22+L22+M22+N22+O22+P22+Q22+R22+S22+T22</f>
        <v>86298635</v>
      </c>
      <c r="V22" s="30">
        <f>SUM(M22:T22)</f>
        <v>48267269</v>
      </c>
      <c r="W22" s="1287"/>
      <c r="X22" s="3102">
        <f t="shared" si="3"/>
        <v>86298635</v>
      </c>
      <c r="Y22" s="3103">
        <f t="shared" si="4"/>
        <v>0</v>
      </c>
    </row>
    <row r="23" spans="1:25" s="39" customFormat="1" ht="15.75" customHeight="1">
      <c r="A23" s="54" t="s">
        <v>29</v>
      </c>
      <c r="B23" s="60">
        <f>+'Tab. 6A -Drogi'!E18</f>
        <v>206750</v>
      </c>
      <c r="C23" s="60">
        <f>+'Tab. 6A -Drogi'!F18</f>
        <v>0</v>
      </c>
      <c r="D23" s="60">
        <f>+'Tab. 6A -Drogi'!G18</f>
        <v>34561</v>
      </c>
      <c r="E23" s="60">
        <f>+'Tab. 6A -Drogi'!H18</f>
        <v>156078</v>
      </c>
      <c r="F23" s="60">
        <f>+'Tab. 6A -Drogi'!I18</f>
        <v>496958</v>
      </c>
      <c r="G23" s="60">
        <f>+'Tab. 6A -Drogi'!J18</f>
        <v>20446073</v>
      </c>
      <c r="H23" s="60">
        <f>+'Tab. 6A -Drogi'!K18</f>
        <v>4976802</v>
      </c>
      <c r="I23" s="60">
        <f>+'Tab. 6A -Drogi'!L18</f>
        <v>1961906</v>
      </c>
      <c r="J23" s="59">
        <f>+'Tab. 6A -Drogi'!M18</f>
        <v>29682658</v>
      </c>
      <c r="K23" s="1591">
        <f>+'Tab. 6A -Drogi'!N18</f>
        <v>1594169</v>
      </c>
      <c r="L23" s="59">
        <f>+'Tab. 6A -Drogi'!O18</f>
        <v>3031</v>
      </c>
      <c r="M23" s="57">
        <f>+'Tab. 6A -Drogi'!P18</f>
        <v>0</v>
      </c>
      <c r="N23" s="57">
        <f>+'Tab. 6A -Drogi'!Q18</f>
        <v>0</v>
      </c>
      <c r="O23" s="57">
        <f>+'Tab. 6A -Drogi'!R18</f>
        <v>0</v>
      </c>
      <c r="P23" s="57">
        <f>+'Tab. 6A -Drogi'!S18</f>
        <v>0</v>
      </c>
      <c r="Q23" s="57">
        <f>+'Tab. 6A -Drogi'!T18</f>
        <v>0</v>
      </c>
      <c r="R23" s="57">
        <f>+'Tab. 6A -Drogi'!U18</f>
        <v>0</v>
      </c>
      <c r="S23" s="57">
        <f>+'Tab. 6A -Drogi'!V18</f>
        <v>0</v>
      </c>
      <c r="T23" s="57">
        <f>+'Tab. 6A -Drogi'!W18</f>
        <v>0</v>
      </c>
      <c r="U23" s="1537">
        <f t="shared" si="8"/>
        <v>29685689</v>
      </c>
      <c r="V23" s="30">
        <f t="shared" si="9"/>
        <v>0</v>
      </c>
      <c r="W23" s="1287"/>
      <c r="X23" s="3102">
        <f t="shared" si="3"/>
        <v>29685689</v>
      </c>
      <c r="Y23" s="3103">
        <f t="shared" si="4"/>
        <v>0</v>
      </c>
    </row>
    <row r="24" spans="1:25" s="39" customFormat="1" ht="15.75" customHeight="1">
      <c r="A24" s="54" t="s">
        <v>45</v>
      </c>
      <c r="B24" s="60"/>
      <c r="C24" s="60"/>
      <c r="D24" s="60"/>
      <c r="E24" s="60"/>
      <c r="F24" s="60"/>
      <c r="G24" s="60"/>
      <c r="H24" s="60"/>
      <c r="I24" s="60"/>
      <c r="J24" s="60">
        <f>'Tab. 6E - Administracja'!M18</f>
        <v>0</v>
      </c>
      <c r="K24" s="1593">
        <f>'Tab. 6E - Administracja'!N18</f>
        <v>0</v>
      </c>
      <c r="L24" s="60">
        <f>'Tab. 6E - Administracja'!O18</f>
        <v>0</v>
      </c>
      <c r="M24" s="60">
        <f>'Tab. 6E - Administracja'!P18</f>
        <v>730701</v>
      </c>
      <c r="N24" s="60">
        <f>'Tab. 6E - Administracja'!Q18</f>
        <v>733020</v>
      </c>
      <c r="O24" s="60">
        <f>'Tab. 6E - Administracja'!R18</f>
        <v>624234</v>
      </c>
      <c r="P24" s="60">
        <f>'Tab. 6E - Administracja'!S18</f>
        <v>471473</v>
      </c>
      <c r="Q24" s="60">
        <f>'Tab. 6E - Administracja'!T18</f>
        <v>471472</v>
      </c>
      <c r="R24" s="60">
        <f>'Tab. 6E - Administracja'!U18</f>
        <v>471472</v>
      </c>
      <c r="S24" s="60">
        <f>'Tab. 6E - Administracja'!V18</f>
        <v>471472</v>
      </c>
      <c r="T24" s="60">
        <f>'Tab. 6E - Administracja'!W18</f>
        <v>471472</v>
      </c>
      <c r="U24" s="1537">
        <f t="shared" si="8"/>
        <v>4445316</v>
      </c>
      <c r="V24" s="1183">
        <v>0</v>
      </c>
      <c r="W24" s="1287"/>
      <c r="X24" s="3102">
        <f t="shared" si="3"/>
        <v>4445316</v>
      </c>
      <c r="Y24" s="3103">
        <f t="shared" si="4"/>
        <v>0</v>
      </c>
    </row>
    <row r="25" spans="1:25" s="39" customFormat="1" ht="17.25" customHeight="1">
      <c r="A25" s="62" t="s">
        <v>30</v>
      </c>
      <c r="B25" s="63" t="e">
        <f>SUM(B26:B30)</f>
        <v>#REF!</v>
      </c>
      <c r="C25" s="63" t="e">
        <f t="shared" ref="C25:N25" si="10">SUM(C26:C30)</f>
        <v>#REF!</v>
      </c>
      <c r="D25" s="63" t="e">
        <f t="shared" si="10"/>
        <v>#REF!</v>
      </c>
      <c r="E25" s="63" t="e">
        <f t="shared" si="10"/>
        <v>#REF!</v>
      </c>
      <c r="F25" s="63" t="e">
        <f t="shared" si="10"/>
        <v>#REF!</v>
      </c>
      <c r="G25" s="63" t="e">
        <f t="shared" si="10"/>
        <v>#REF!</v>
      </c>
      <c r="H25" s="63" t="e">
        <f t="shared" si="10"/>
        <v>#REF!</v>
      </c>
      <c r="I25" s="63" t="e">
        <f t="shared" si="10"/>
        <v>#REF!</v>
      </c>
      <c r="J25" s="63">
        <f t="shared" si="10"/>
        <v>672920313</v>
      </c>
      <c r="K25" s="1594">
        <f t="shared" si="10"/>
        <v>242663796</v>
      </c>
      <c r="L25" s="63">
        <f t="shared" si="10"/>
        <v>193370157</v>
      </c>
      <c r="M25" s="63">
        <f t="shared" si="10"/>
        <v>131863584</v>
      </c>
      <c r="N25" s="63">
        <f t="shared" si="10"/>
        <v>208334150</v>
      </c>
      <c r="O25" s="63">
        <f>SUM(O26:O30)</f>
        <v>152219635</v>
      </c>
      <c r="P25" s="63">
        <f t="shared" ref="P25:Q25" si="11">SUM(P26:P30)</f>
        <v>62466001</v>
      </c>
      <c r="Q25" s="63">
        <f t="shared" si="11"/>
        <v>44316337</v>
      </c>
      <c r="R25" s="63">
        <f t="shared" ref="R25:T25" si="12">SUM(R26:R30)</f>
        <v>30574519</v>
      </c>
      <c r="S25" s="63">
        <f t="shared" si="12"/>
        <v>30240549</v>
      </c>
      <c r="T25" s="63">
        <f t="shared" si="12"/>
        <v>30342746</v>
      </c>
      <c r="U25" s="1538">
        <f>SUM(U26:U30)</f>
        <v>1556647991</v>
      </c>
      <c r="V25" s="64">
        <f>SUM(V28:V30)</f>
        <v>8821226</v>
      </c>
      <c r="W25" s="1287"/>
      <c r="X25" s="3102">
        <f t="shared" si="3"/>
        <v>1556647991</v>
      </c>
      <c r="Y25" s="3103">
        <f t="shared" si="4"/>
        <v>0</v>
      </c>
    </row>
    <row r="26" spans="1:25" s="39" customFormat="1" ht="15.75" customHeight="1">
      <c r="A26" s="51" t="s">
        <v>24</v>
      </c>
      <c r="B26" s="52">
        <f>+'Tab. 6G - Roln i ochrona środ.'!E19</f>
        <v>3422614</v>
      </c>
      <c r="C26" s="52">
        <f>+'Tab. 6G - Roln i ochrona środ.'!F19</f>
        <v>172045</v>
      </c>
      <c r="D26" s="52">
        <f>+'Tab. 6G - Roln i ochrona środ.'!G19</f>
        <v>1473492</v>
      </c>
      <c r="E26" s="52">
        <f>+'Tab. 6G - Roln i ochrona środ.'!H19</f>
        <v>1744361</v>
      </c>
      <c r="F26" s="52">
        <f>+'Tab. 6G - Roln i ochrona środ.'!I19</f>
        <v>1013833</v>
      </c>
      <c r="G26" s="52">
        <f>+'Tab. 6G - Roln i ochrona środ.'!J19</f>
        <v>657500</v>
      </c>
      <c r="H26" s="52">
        <f>+'Tab. 6G - Roln i ochrona środ.'!K19</f>
        <v>39646</v>
      </c>
      <c r="I26" s="52">
        <f>+'Tab. 6G - Roln i ochrona środ.'!L19</f>
        <v>39914</v>
      </c>
      <c r="J26" s="52">
        <f>+'Tab. 6G - Roln i ochrona środ.'!M19</f>
        <v>5330527</v>
      </c>
      <c r="K26" s="1590">
        <f>+'Tab. 6G - Roln i ochrona środ.'!N19</f>
        <v>157020</v>
      </c>
      <c r="L26" s="52">
        <f>+'Tab. 6G - Roln i ochrona środ.'!O19</f>
        <v>0</v>
      </c>
      <c r="M26" s="52">
        <f>+'Tab. 6G - Roln i ochrona środ.'!P19</f>
        <v>0</v>
      </c>
      <c r="N26" s="52">
        <f>+'Tab. 6G - Roln i ochrona środ.'!Q19</f>
        <v>0</v>
      </c>
      <c r="O26" s="52">
        <f>+'Tab. 6G - Roln i ochrona środ.'!R19</f>
        <v>0</v>
      </c>
      <c r="P26" s="52">
        <f>+'Tab. 6G - Roln i ochrona środ.'!S19</f>
        <v>0</v>
      </c>
      <c r="Q26" s="52">
        <f>+'Tab. 6G - Roln i ochrona środ.'!T19</f>
        <v>0</v>
      </c>
      <c r="R26" s="52">
        <f>+'Tab. 6G - Roln i ochrona środ.'!U19</f>
        <v>0</v>
      </c>
      <c r="S26" s="52">
        <f>+'Tab. 6G - Roln i ochrona środ.'!V19</f>
        <v>0</v>
      </c>
      <c r="T26" s="52">
        <f>+'Tab. 6G - Roln i ochrona środ.'!W19</f>
        <v>0</v>
      </c>
      <c r="U26" s="1537">
        <f>J26+L26+M26+N26+O26+P26+Q26+R26+S26+T26</f>
        <v>5330527</v>
      </c>
      <c r="V26" s="30">
        <f>SUM(M26:T26)</f>
        <v>0</v>
      </c>
      <c r="W26" s="1287"/>
      <c r="X26" s="3102">
        <f t="shared" si="3"/>
        <v>5330527</v>
      </c>
      <c r="Y26" s="3103">
        <f t="shared" si="4"/>
        <v>0</v>
      </c>
    </row>
    <row r="27" spans="1:25" s="39" customFormat="1" ht="13.5" hidden="1" customHeight="1">
      <c r="A27" s="51" t="s">
        <v>31</v>
      </c>
      <c r="B27" s="55">
        <f>+'Tab. 6A -Drogi'!E22</f>
        <v>0</v>
      </c>
      <c r="C27" s="55">
        <f>+'Tab. 6A -Drogi'!F22</f>
        <v>0</v>
      </c>
      <c r="D27" s="55">
        <f>+'Tab. 6A -Drogi'!G22</f>
        <v>0</v>
      </c>
      <c r="E27" s="55">
        <f>+'Tab. 6A -Drogi'!H22</f>
        <v>0</v>
      </c>
      <c r="F27" s="55">
        <f>+'Tab. 6A -Drogi'!I22</f>
        <v>0</v>
      </c>
      <c r="G27" s="55">
        <f>+'Tab. 6A -Drogi'!J22</f>
        <v>0</v>
      </c>
      <c r="H27" s="55">
        <f>+'Tab. 6A -Drogi'!K22</f>
        <v>0</v>
      </c>
      <c r="I27" s="52">
        <f>+'Tab. 6A -Drogi'!L22</f>
        <v>0</v>
      </c>
      <c r="J27" s="52">
        <f>+'Tab. 6A -Drogi'!M22</f>
        <v>0</v>
      </c>
      <c r="K27" s="1590">
        <f>+'Tab. 6A -Drogi'!N22</f>
        <v>0</v>
      </c>
      <c r="L27" s="52">
        <f>+'Tab. 6A -Drogi'!O22</f>
        <v>0</v>
      </c>
      <c r="M27" s="52">
        <f>+'Tab. 6A -Drogi'!P22</f>
        <v>0</v>
      </c>
      <c r="N27" s="52">
        <f>+'Tab. 6A -Drogi'!Q22</f>
        <v>0</v>
      </c>
      <c r="O27" s="52">
        <f>+'Tab. 6A -Drogi'!R22</f>
        <v>0</v>
      </c>
      <c r="P27" s="52">
        <f>+'Tab. 6A -Drogi'!S22</f>
        <v>0</v>
      </c>
      <c r="Q27" s="52">
        <f>+'Tab. 6A -Drogi'!T22</f>
        <v>0</v>
      </c>
      <c r="R27" s="52">
        <f>+'Tab. 6A -Drogi'!U22</f>
        <v>0</v>
      </c>
      <c r="S27" s="52">
        <f>+'Tab. 6A -Drogi'!V22</f>
        <v>0</v>
      </c>
      <c r="T27" s="52">
        <f>+'Tab. 6A -Drogi'!W22</f>
        <v>0</v>
      </c>
      <c r="U27" s="1537">
        <f>J27+L27+M27+N27+O27+P27+Q27+R27+S27+T27</f>
        <v>0</v>
      </c>
      <c r="V27" s="30">
        <f>SUM(M27:T27)</f>
        <v>0</v>
      </c>
      <c r="W27" s="1287"/>
      <c r="X27" s="3102">
        <f t="shared" si="3"/>
        <v>0</v>
      </c>
      <c r="Y27" s="3103">
        <f t="shared" si="4"/>
        <v>0</v>
      </c>
    </row>
    <row r="28" spans="1:25" s="39" customFormat="1" ht="14.25" customHeight="1">
      <c r="A28" s="54" t="s">
        <v>32</v>
      </c>
      <c r="B28" s="55">
        <f>+'Tab. 6D - Oświata'!E17+'Tab. 6A -Drogi'!E20+'Tab. 6G - Roln i ochrona środ.'!E22</f>
        <v>0</v>
      </c>
      <c r="C28" s="52">
        <f>+'Tab. 6D - Oświata'!F17+'Tab. 6A -Drogi'!F20+'Tab. 6G - Roln i ochrona środ.'!F22</f>
        <v>0</v>
      </c>
      <c r="D28" s="52">
        <f>+'Tab. 6D - Oświata'!G17+'Tab. 6A -Drogi'!G20+'Tab. 6G - Roln i ochrona środ.'!G22</f>
        <v>0</v>
      </c>
      <c r="E28" s="52">
        <f>+'Tab. 6D - Oświata'!H17+'Tab. 6A -Drogi'!H20+'Tab. 6G - Roln i ochrona środ.'!H22</f>
        <v>0</v>
      </c>
      <c r="F28" s="52">
        <f>+'Tab. 6D - Oświata'!I17+'Tab. 6A -Drogi'!I20+'Tab. 6G - Roln i ochrona środ.'!I22</f>
        <v>0</v>
      </c>
      <c r="G28" s="52">
        <f>+'Tab. 6D - Oświata'!J17+'Tab. 6A -Drogi'!J20+'Tab. 6G - Roln i ochrona środ.'!J22</f>
        <v>629249</v>
      </c>
      <c r="H28" s="52">
        <f>+'Tab. 6D - Oświata'!K17+'Tab. 6A -Drogi'!K20+'Tab. 6G - Roln i ochrona środ.'!K22</f>
        <v>2188317</v>
      </c>
      <c r="I28" s="52">
        <f>+'Tab. 6D - Oświata'!L17+'Tab. 6A -Drogi'!L20+'Tab. 6G - Roln i ochrona środ.'!L22</f>
        <v>1133237</v>
      </c>
      <c r="J28" s="52">
        <f>+'Tab. 6D - Oświata'!M17+'Tab. 6A -Drogi'!M20+'Tab. 6G - Roln i ochrona środ.'!M22</f>
        <v>7176275</v>
      </c>
      <c r="K28" s="1590">
        <f>+'Tab. 6D - Oświata'!N17+'Tab. 6A -Drogi'!N20+'Tab. 6G - Roln i ochrona środ.'!N22</f>
        <v>3225472</v>
      </c>
      <c r="L28" s="52">
        <f>+'Tab. 6D - Oświata'!O17+'Tab. 6A -Drogi'!O20+'Tab. 6G - Roln i ochrona środ.'!O22</f>
        <v>5041379</v>
      </c>
      <c r="M28" s="52">
        <f>+'Tab. 6D - Oświata'!P17+'Tab. 6A -Drogi'!P20+'Tab. 6G - Roln i ochrona środ.'!P22</f>
        <v>4573083</v>
      </c>
      <c r="N28" s="52">
        <f>+'Tab. 6D - Oświata'!Q17+'Tab. 6A -Drogi'!Q20+'Tab. 6G - Roln i ochrona środ.'!Q22</f>
        <v>2687918</v>
      </c>
      <c r="O28" s="52">
        <f>+'Tab. 6D - Oświata'!R17+'Tab. 6A -Drogi'!R20+'Tab. 6G - Roln i ochrona środ.'!R22</f>
        <v>98077</v>
      </c>
      <c r="P28" s="52">
        <f>+'Tab. 6D - Oświata'!S17+'Tab. 6A -Drogi'!S20+'Tab. 6G - Roln i ochrona środ.'!S22</f>
        <v>18348</v>
      </c>
      <c r="Q28" s="52">
        <f>+'Tab. 6D - Oświata'!T17+'Tab. 6A -Drogi'!T20+'Tab. 6G - Roln i ochrona środ.'!T22</f>
        <v>0</v>
      </c>
      <c r="R28" s="52">
        <f>+'Tab. 6D - Oświata'!U17+'Tab. 6A -Drogi'!U20+'Tab. 6G - Roln i ochrona środ.'!U22</f>
        <v>0</v>
      </c>
      <c r="S28" s="52">
        <f>+'Tab. 6D - Oświata'!V17+'Tab. 6A -Drogi'!V20+'Tab. 6G - Roln i ochrona środ.'!V22</f>
        <v>0</v>
      </c>
      <c r="T28" s="52">
        <f>+'Tab. 6D - Oświata'!W17+'Tab. 6A -Drogi'!W20+'Tab. 6G - Roln i ochrona środ.'!W22</f>
        <v>0</v>
      </c>
      <c r="U28" s="1537">
        <f>J28+L28+M28+N28+O28+P28+Q28+R28+S28+T28</f>
        <v>19595080</v>
      </c>
      <c r="V28" s="30">
        <f>SUM(M28:T28)</f>
        <v>7377426</v>
      </c>
      <c r="W28" s="1287"/>
      <c r="X28" s="3102">
        <f t="shared" si="3"/>
        <v>19595080</v>
      </c>
      <c r="Y28" s="3103">
        <f t="shared" si="4"/>
        <v>0</v>
      </c>
    </row>
    <row r="29" spans="1:25" s="39" customFormat="1" ht="14.25" customHeight="1">
      <c r="A29" s="54" t="s">
        <v>26</v>
      </c>
      <c r="B29" s="56">
        <f>+'Tab. 6G - Roln i ochrona środ.'!E21</f>
        <v>10594223</v>
      </c>
      <c r="C29" s="56">
        <f>+'Tab. 6G - Roln i ochrona środ.'!F21</f>
        <v>0</v>
      </c>
      <c r="D29" s="56">
        <f>+'Tab. 6G - Roln i ochrona środ.'!G21</f>
        <v>0</v>
      </c>
      <c r="E29" s="56">
        <f>+'Tab. 6G - Roln i ochrona środ.'!H21</f>
        <v>3058368</v>
      </c>
      <c r="F29" s="56">
        <f>+'Tab. 6G - Roln i ochrona środ.'!I21</f>
        <v>17692550</v>
      </c>
      <c r="G29" s="56">
        <f>+'Tab. 6G - Roln i ochrona środ.'!J21</f>
        <v>2998223</v>
      </c>
      <c r="H29" s="56">
        <f>+'Tab. 6G - Roln i ochrona środ.'!K21</f>
        <v>3753212</v>
      </c>
      <c r="I29" s="56">
        <f>+'Tab. 6G - Roln i ochrona środ.'!L21</f>
        <v>4711864</v>
      </c>
      <c r="J29" s="56">
        <f>+'Tab. 6G - Roln i ochrona środ.'!M21</f>
        <v>44183146</v>
      </c>
      <c r="K29" s="1591">
        <f>+'Tab. 6G - Roln i ochrona środ.'!N21</f>
        <v>4433074</v>
      </c>
      <c r="L29" s="56">
        <f>+'Tab. 6G - Roln i ochrona środ.'!O21</f>
        <v>1613741</v>
      </c>
      <c r="M29" s="56">
        <f>+'Tab. 6G - Roln i ochrona środ.'!P21</f>
        <v>0</v>
      </c>
      <c r="N29" s="56">
        <f>+'Tab. 6G - Roln i ochrona środ.'!Q21</f>
        <v>0</v>
      </c>
      <c r="O29" s="56">
        <f>+'Tab. 6G - Roln i ochrona środ.'!R21</f>
        <v>0</v>
      </c>
      <c r="P29" s="56">
        <f>+'Tab. 6G - Roln i ochrona środ.'!S21</f>
        <v>0</v>
      </c>
      <c r="Q29" s="56">
        <f>+'Tab. 6G - Roln i ochrona środ.'!T21</f>
        <v>0</v>
      </c>
      <c r="R29" s="56">
        <f>+'Tab. 6G - Roln i ochrona środ.'!U21</f>
        <v>0</v>
      </c>
      <c r="S29" s="56">
        <f>+'Tab. 6G - Roln i ochrona środ.'!V21</f>
        <v>0</v>
      </c>
      <c r="T29" s="56">
        <f>+'Tab. 6G - Roln i ochrona środ.'!W21</f>
        <v>0</v>
      </c>
      <c r="U29" s="1537">
        <f>J29+L29+M29+N29+O29+P29+Q29+R29+S29+T29</f>
        <v>45796887</v>
      </c>
      <c r="V29" s="30">
        <f>SUM(M29:T29)</f>
        <v>0</v>
      </c>
      <c r="W29" s="1287"/>
      <c r="X29" s="3102">
        <f t="shared" si="3"/>
        <v>45796887</v>
      </c>
      <c r="Y29" s="3103">
        <f t="shared" si="4"/>
        <v>0</v>
      </c>
    </row>
    <row r="30" spans="1:25" s="39" customFormat="1" ht="14.25" customHeight="1">
      <c r="A30" s="54" t="s">
        <v>33</v>
      </c>
      <c r="B30" s="56" t="e">
        <f>+'Tab. 6B Polit społ i rozwój prz'!E16+'Tab. 6A -Drogi'!E21+'Tab. 6E - Administracja'!E20+'Tab. 6G - Roln i ochrona środ.'!E20+'Tab. 6H - Kultura fiz. i turyst'!E15+'Tab.6I - Planow. przestrz.'!E16</f>
        <v>#REF!</v>
      </c>
      <c r="C30" s="1184" t="e">
        <f>+'Tab. 6B Polit społ i rozwój prz'!F16+'Tab. 6A -Drogi'!F21+'Tab. 6E - Administracja'!F20+'Tab. 6G - Roln i ochrona środ.'!F20+'Tab. 6H - Kultura fiz. i turyst'!F15+'Tab.6I - Planow. przestrz.'!F16</f>
        <v>#REF!</v>
      </c>
      <c r="D30" s="1184" t="e">
        <f>+'Tab. 6B Polit społ i rozwój prz'!G16+'Tab. 6A -Drogi'!G21+'Tab. 6E - Administracja'!G20+'Tab. 6G - Roln i ochrona środ.'!G20+'Tab. 6H - Kultura fiz. i turyst'!G15+'Tab.6I - Planow. przestrz.'!G16</f>
        <v>#REF!</v>
      </c>
      <c r="E30" s="1184" t="e">
        <f>+'Tab. 6B Polit społ i rozwój prz'!H16+'Tab. 6A -Drogi'!H21+'Tab. 6E - Administracja'!H20+'Tab. 6G - Roln i ochrona środ.'!H20+'Tab. 6H - Kultura fiz. i turyst'!H15+'Tab.6I - Planow. przestrz.'!H16</f>
        <v>#REF!</v>
      </c>
      <c r="F30" s="56" t="e">
        <f>+'Tab. 6B Polit społ i rozwój prz'!I16+'Tab. 6A -Drogi'!I21+'Tab. 6E - Administracja'!I20+'Tab. 6G - Roln i ochrona środ.'!I20+'Tab. 6H - Kultura fiz. i turyst'!I15+'Tab.6I - Planow. przestrz.'!I16</f>
        <v>#REF!</v>
      </c>
      <c r="G30" s="56" t="e">
        <f>+'Tab. 6B Polit społ i rozwój prz'!J16+'Tab. 6A -Drogi'!J21+'Tab. 6E - Administracja'!J20+'Tab. 6G - Roln i ochrona środ.'!J20+'Tab. 6H - Kultura fiz. i turyst'!J15+'Tab.6I - Planow. przestrz.'!J16</f>
        <v>#REF!</v>
      </c>
      <c r="H30" s="56" t="e">
        <f>+'Tab. 6B Polit społ i rozwój prz'!K16+'Tab. 6A -Drogi'!K21+'Tab. 6E - Administracja'!K20+'Tab. 6G - Roln i ochrona środ.'!K20+'Tab. 6H - Kultura fiz. i turyst'!K15+'Tab.6I - Planow. przestrz.'!K16</f>
        <v>#REF!</v>
      </c>
      <c r="I30" s="56" t="e">
        <f>+'Tab. 6B Polit społ i rozwój prz'!L16+'Tab. 6A -Drogi'!L21+'Tab. 6E - Administracja'!L20+'Tab. 6G - Roln i ochrona środ.'!L20+'Tab. 6H - Kultura fiz. i turyst'!L15+'Tab.6I - Planow. przestrz.'!L16</f>
        <v>#REF!</v>
      </c>
      <c r="J30" s="56">
        <f>+'Tab. 6B Polit społ i rozwój prz'!M16+'Tab. 6A -Drogi'!M21+'Tab. 6E - Administracja'!M20+'Tab. 6G - Roln i ochrona środ.'!M20+'Tab. 6H - Kultura fiz. i turyst'!M15+'Tab.6I - Planow. przestrz.'!M16</f>
        <v>616230365</v>
      </c>
      <c r="K30" s="1591">
        <f>+'Tab. 6B Polit społ i rozwój prz'!N16+'Tab. 6A -Drogi'!N21+'Tab. 6E - Administracja'!N20+'Tab. 6G - Roln i ochrona środ.'!N20+'Tab. 6H - Kultura fiz. i turyst'!N15+'Tab.6I - Planow. przestrz.'!N16</f>
        <v>234848230</v>
      </c>
      <c r="L30" s="56">
        <f>+'Tab. 6B Polit społ i rozwój prz'!O16+'Tab. 6A -Drogi'!O21+'Tab. 6E - Administracja'!O20+'Tab. 6G - Roln i ochrona środ.'!O20+'Tab. 6H - Kultura fiz. i turyst'!O15+'Tab.6I - Planow. przestrz.'!O16</f>
        <v>186715037</v>
      </c>
      <c r="M30" s="56">
        <f>+'Tab. 6B Polit społ i rozwój prz'!P16+'Tab. 6A -Drogi'!P21+'Tab. 6E - Administracja'!P20+'Tab. 6G - Roln i ochrona środ.'!P20+'Tab. 6H - Kultura fiz. i turyst'!P15+'Tab.6I - Planow. przestrz.'!P16</f>
        <v>127290501</v>
      </c>
      <c r="N30" s="56">
        <f>+'Tab. 6B Polit społ i rozwój prz'!Q16+'Tab. 6A -Drogi'!Q21+'Tab. 6E - Administracja'!Q20+'Tab. 6G - Roln i ochrona środ.'!Q20+'Tab. 6H - Kultura fiz. i turyst'!Q15+'Tab.6I - Planow. przestrz.'!Q16</f>
        <v>205646232</v>
      </c>
      <c r="O30" s="56">
        <f>+'Tab. 6B Polit społ i rozwój prz'!R16+'Tab. 6A -Drogi'!R21+'Tab. 6E - Administracja'!R20+'Tab. 6G - Roln i ochrona środ.'!R20+'Tab. 6H - Kultura fiz. i turyst'!R15+'Tab.6I - Planow. przestrz.'!R16</f>
        <v>152121558</v>
      </c>
      <c r="P30" s="56">
        <f>+'Tab. 6B Polit społ i rozwój prz'!S16+'Tab. 6A -Drogi'!S21+'Tab. 6E - Administracja'!S20+'Tab. 6G - Roln i ochrona środ.'!S20+'Tab. 6H - Kultura fiz. i turyst'!S15+'Tab.6I - Planow. przestrz.'!S16</f>
        <v>62447653</v>
      </c>
      <c r="Q30" s="56">
        <f>+'Tab. 6B Polit społ i rozwój prz'!T16+'Tab. 6A -Drogi'!T21+'Tab. 6E - Administracja'!T20+'Tab. 6G - Roln i ochrona środ.'!T20+'Tab. 6H - Kultura fiz. i turyst'!T15+'Tab.6I - Planow. przestrz.'!T16</f>
        <v>44316337</v>
      </c>
      <c r="R30" s="56">
        <f>+'Tab. 6B Polit społ i rozwój prz'!U16+'Tab. 6A -Drogi'!U21+'Tab. 6E - Administracja'!U20+'Tab. 6G - Roln i ochrona środ.'!U20+'Tab. 6H - Kultura fiz. i turyst'!U15+'Tab.6I - Planow. przestrz.'!U16</f>
        <v>30574519</v>
      </c>
      <c r="S30" s="56">
        <f>+'Tab. 6B Polit społ i rozwój prz'!V16+'Tab. 6A -Drogi'!V21+'Tab. 6E - Administracja'!V20+'Tab. 6G - Roln i ochrona środ.'!V20+'Tab. 6H - Kultura fiz. i turyst'!V15+'Tab.6I - Planow. przestrz.'!V16</f>
        <v>30240549</v>
      </c>
      <c r="T30" s="56">
        <f>+'Tab. 6B Polit społ i rozwój prz'!W16+'Tab. 6A -Drogi'!W21+'Tab. 6E - Administracja'!W20+'Tab. 6G - Roln i ochrona środ.'!W20+'Tab. 6H - Kultura fiz. i turyst'!W15+'Tab.6I - Planow. przestrz.'!W16</f>
        <v>30342746</v>
      </c>
      <c r="U30" s="1537">
        <f>J30+L30+M30+N30+O30+P30+Q30+R30+S30+T30</f>
        <v>1485925497</v>
      </c>
      <c r="V30" s="30">
        <f>+'Tab. 6B Polit społ i rozwój prz'!Y16+'Tab. 6A -Drogi'!Y21+'Tab. 6E - Administracja'!Y20+'Tab. 6G - Roln i ochrona środ.'!Y20+'Tab. 6H - Kultura fiz. i turyst'!Y15+'Tab.6I - Planow. przestrz.'!Y16+'Tab. 6E - Administracja'!P161</f>
        <v>1443800</v>
      </c>
      <c r="W30" s="1287"/>
      <c r="X30" s="3100">
        <f t="shared" si="3"/>
        <v>1485925497</v>
      </c>
      <c r="Y30" s="3101">
        <f t="shared" si="4"/>
        <v>0</v>
      </c>
    </row>
    <row r="31" spans="1:25" s="69" customFormat="1" ht="15.75" customHeight="1">
      <c r="A31" s="65" t="s">
        <v>34</v>
      </c>
      <c r="B31" s="66" t="e">
        <f t="shared" ref="B31:O31" si="13">+B32+B40</f>
        <v>#REF!</v>
      </c>
      <c r="C31" s="67" t="e">
        <f>+C32+C40</f>
        <v>#REF!</v>
      </c>
      <c r="D31" s="67" t="e">
        <f t="shared" si="13"/>
        <v>#REF!</v>
      </c>
      <c r="E31" s="67" t="e">
        <f t="shared" si="13"/>
        <v>#REF!</v>
      </c>
      <c r="F31" s="68" t="e">
        <f t="shared" si="13"/>
        <v>#REF!</v>
      </c>
      <c r="G31" s="68" t="e">
        <f t="shared" si="13"/>
        <v>#REF!</v>
      </c>
      <c r="H31" s="68" t="e">
        <f t="shared" si="13"/>
        <v>#REF!</v>
      </c>
      <c r="I31" s="68" t="e">
        <f>+I32+I40</f>
        <v>#REF!</v>
      </c>
      <c r="J31" s="68">
        <f>+J32+J40</f>
        <v>782668914</v>
      </c>
      <c r="K31" s="1595">
        <f t="shared" si="13"/>
        <v>269652953</v>
      </c>
      <c r="L31" s="68">
        <f>+L32+L40</f>
        <v>223555012</v>
      </c>
      <c r="M31" s="68">
        <f t="shared" si="13"/>
        <v>175553370</v>
      </c>
      <c r="N31" s="68">
        <f t="shared" si="13"/>
        <v>228655478</v>
      </c>
      <c r="O31" s="68">
        <f t="shared" si="13"/>
        <v>168318958</v>
      </c>
      <c r="P31" s="68">
        <f t="shared" ref="P31:Q31" si="14">+P32+P40</f>
        <v>67493975</v>
      </c>
      <c r="Q31" s="68">
        <f t="shared" si="14"/>
        <v>45534748</v>
      </c>
      <c r="R31" s="68">
        <f t="shared" ref="R31:T31" si="15">+R32+R40</f>
        <v>30574519</v>
      </c>
      <c r="S31" s="68">
        <f t="shared" si="15"/>
        <v>30240549</v>
      </c>
      <c r="T31" s="68">
        <f t="shared" si="15"/>
        <v>30342746</v>
      </c>
      <c r="U31" s="1539">
        <f>+U32+U40</f>
        <v>1782938269</v>
      </c>
      <c r="V31" s="3986" t="s">
        <v>35</v>
      </c>
      <c r="W31" s="1287"/>
    </row>
    <row r="32" spans="1:25" s="39" customFormat="1" ht="17.25" customHeight="1">
      <c r="A32" s="62" t="s">
        <v>36</v>
      </c>
      <c r="B32" s="70">
        <f>SUM(B33:B39)</f>
        <v>5939768</v>
      </c>
      <c r="C32" s="70">
        <f t="shared" ref="C32:O32" si="16">SUM(C33:C39)</f>
        <v>2052</v>
      </c>
      <c r="D32" s="70">
        <f t="shared" si="16"/>
        <v>116662</v>
      </c>
      <c r="E32" s="70">
        <f t="shared" si="16"/>
        <v>6894397</v>
      </c>
      <c r="F32" s="70">
        <f t="shared" si="16"/>
        <v>10835032</v>
      </c>
      <c r="G32" s="70">
        <f t="shared" si="16"/>
        <v>35335526</v>
      </c>
      <c r="H32" s="70">
        <f t="shared" si="16"/>
        <v>36284547</v>
      </c>
      <c r="I32" s="70">
        <f t="shared" si="16"/>
        <v>26017828</v>
      </c>
      <c r="J32" s="70">
        <f t="shared" ref="J32" si="17">SUM(J33:J39)</f>
        <v>151479405</v>
      </c>
      <c r="K32" s="1594">
        <f t="shared" si="16"/>
        <v>37113126</v>
      </c>
      <c r="L32" s="70">
        <f t="shared" si="16"/>
        <v>20602204</v>
      </c>
      <c r="M32" s="70">
        <f t="shared" si="16"/>
        <v>16427228</v>
      </c>
      <c r="N32" s="70">
        <f t="shared" si="16"/>
        <v>10276190</v>
      </c>
      <c r="O32" s="70">
        <f t="shared" si="16"/>
        <v>13803094</v>
      </c>
      <c r="P32" s="70">
        <f t="shared" ref="P32:Q32" si="18">SUM(P33:P39)</f>
        <v>4462450</v>
      </c>
      <c r="Q32" s="70">
        <f t="shared" si="18"/>
        <v>1604500</v>
      </c>
      <c r="R32" s="70">
        <f t="shared" ref="R32:T32" si="19">SUM(R33:R39)</f>
        <v>0</v>
      </c>
      <c r="S32" s="70">
        <f t="shared" si="19"/>
        <v>0</v>
      </c>
      <c r="T32" s="70">
        <f t="shared" si="19"/>
        <v>0</v>
      </c>
      <c r="U32" s="103">
        <f>SUM(U33:U39)</f>
        <v>218655071</v>
      </c>
      <c r="V32" s="3987"/>
      <c r="W32" s="1544" t="s">
        <v>445</v>
      </c>
    </row>
    <row r="33" spans="1:25" s="39" customFormat="1" ht="14.25" customHeight="1">
      <c r="A33" s="54" t="s">
        <v>25</v>
      </c>
      <c r="B33" s="71">
        <f>+'Tab. 6B Polit społ i rozwój prz'!E19+'Tab. 6A -Drogi'!E25+'Tab. 6E - Administracja'!E23+'Tab. 6G - Roln i ochrona środ.'!E25</f>
        <v>3874</v>
      </c>
      <c r="C33" s="1185">
        <f>+'Tab. 6B Polit społ i rozwój prz'!F19+'Tab. 6A -Drogi'!F25+'Tab. 6E - Administracja'!F23+'Tab. 6G - Roln i ochrona środ.'!F25</f>
        <v>2052</v>
      </c>
      <c r="D33" s="1185">
        <f>+'Tab. 6B Polit społ i rozwój prz'!G19+'Tab. 6A -Drogi'!G25+'Tab. 6E - Administracja'!G23+'Tab. 6G - Roln i ochrona środ.'!G25</f>
        <v>116662</v>
      </c>
      <c r="E33" s="1185">
        <f>+'Tab. 6B Polit społ i rozwój prz'!H19+'Tab. 6A -Drogi'!H25+'Tab. 6E - Administracja'!H23+'Tab. 6G - Roln i ochrona środ.'!H25</f>
        <v>246992</v>
      </c>
      <c r="F33" s="71">
        <f>+'Tab. 6B Polit społ i rozwój prz'!I19+'Tab. 6A -Drogi'!I25+'Tab. 6E - Administracja'!I23+'Tab. 6G - Roln i ochrona środ.'!I25</f>
        <v>95664</v>
      </c>
      <c r="G33" s="71">
        <f>+'Tab. 6B Polit społ i rozwój prz'!J19+'Tab. 6A -Drogi'!J25+'Tab. 6E - Administracja'!J23+'Tab. 6G - Roln i ochrona środ.'!J25</f>
        <v>295882</v>
      </c>
      <c r="H33" s="71">
        <f>+'Tab. 6B Polit społ i rozwój prz'!K19+'Tab. 6A -Drogi'!K25+'Tab. 6E - Administracja'!K23+'Tab. 6G - Roln i ochrona środ.'!K25</f>
        <v>482404</v>
      </c>
      <c r="I33" s="71">
        <f>+'Tab. 6B Polit społ i rozwój prz'!L19+'Tab. 6A -Drogi'!L25+'Tab. 6E - Administracja'!L23+'Tab. 6G - Roln i ochrona środ.'!L25</f>
        <v>797234</v>
      </c>
      <c r="J33" s="71">
        <f>+'Tab. 6B Polit społ i rozwój prz'!M19+'Tab. 6A -Drogi'!M25+'Tab. 6E - Administracja'!M23+'Tab. 6G - Roln i ochrona środ.'!M25</f>
        <v>10097074</v>
      </c>
      <c r="K33" s="1590">
        <f>+'Tab. 6B Polit społ i rozwój prz'!N19+'Tab. 6A -Drogi'!N25+'Tab. 6E - Administracja'!N23+'Tab. 6G - Roln i ochrona środ.'!N25</f>
        <v>8468438</v>
      </c>
      <c r="L33" s="71">
        <f>+'Tab. 6B Polit społ i rozwój prz'!O19+'Tab. 6A -Drogi'!O25+'Tab. 6E - Administracja'!O23+'Tab. 6G - Roln i ochrona środ.'!O25</f>
        <v>9162011</v>
      </c>
      <c r="M33" s="71">
        <f>+'Tab. 6B Polit społ i rozwój prz'!P19+'Tab. 6A -Drogi'!P25+'Tab. 6E - Administracja'!P23+'Tab. 6G - Roln i ochrona środ.'!P25</f>
        <v>2525154</v>
      </c>
      <c r="N33" s="71">
        <f>+'Tab. 6B Polit społ i rozwój prz'!Q19+'Tab. 6A -Drogi'!Q25+'Tab. 6E - Administracja'!Q23+'Tab. 6G - Roln i ochrona środ.'!Q25</f>
        <v>1856905</v>
      </c>
      <c r="O33" s="71">
        <f>+'Tab. 6B Polit społ i rozwój prz'!R19+'Tab. 6A -Drogi'!R25+'Tab. 6E - Administracja'!R23+'Tab. 6G - Roln i ochrona środ.'!R25</f>
        <v>1402509</v>
      </c>
      <c r="P33" s="71">
        <f>+'Tab. 6B Polit społ i rozwój prz'!S19+'Tab. 6A -Drogi'!S25+'Tab. 6E - Administracja'!S23+'Tab. 6G - Roln i ochrona środ.'!S25</f>
        <v>1134250</v>
      </c>
      <c r="Q33" s="71">
        <f>+'Tab. 6B Polit społ i rozwój prz'!T19+'Tab. 6A -Drogi'!T25+'Tab. 6E - Administracja'!T23+'Tab. 6G - Roln i ochrona środ.'!T25</f>
        <v>210000</v>
      </c>
      <c r="R33" s="71">
        <f>+'Tab. 6B Polit społ i rozwój prz'!U19+'Tab. 6A -Drogi'!U25+'Tab. 6E - Administracja'!U23+'Tab. 6G - Roln i ochrona środ.'!U25</f>
        <v>0</v>
      </c>
      <c r="S33" s="71">
        <f>+'Tab. 6B Polit społ i rozwój prz'!V19+'Tab. 6A -Drogi'!V25+'Tab. 6E - Administracja'!V23+'Tab. 6G - Roln i ochrona środ.'!V25</f>
        <v>0</v>
      </c>
      <c r="T33" s="71">
        <f>+'Tab. 6B Polit społ i rozwój prz'!W19+'Tab. 6A -Drogi'!W25+'Tab. 6E - Administracja'!W23+'Tab. 6G - Roln i ochrona środ.'!W25</f>
        <v>0</v>
      </c>
      <c r="U33" s="1537">
        <f>J33+L33+M33+N33+O33+P33+Q33+R33+S33+T33</f>
        <v>26387903</v>
      </c>
      <c r="V33" s="3987"/>
      <c r="W33" s="31">
        <f>U33-U19</f>
        <v>0</v>
      </c>
    </row>
    <row r="34" spans="1:25" s="39" customFormat="1">
      <c r="A34" s="54" t="s">
        <v>37</v>
      </c>
      <c r="B34" s="73">
        <f>+'Tab. 6G - Roln i ochrona środ.'!E28</f>
        <v>0</v>
      </c>
      <c r="C34" s="72">
        <f>+'Tab. 6G - Roln i ochrona środ.'!F28</f>
        <v>0</v>
      </c>
      <c r="D34" s="72">
        <f>+'Tab. 6G - Roln i ochrona środ.'!G28</f>
        <v>0</v>
      </c>
      <c r="E34" s="72">
        <f>+'Tab. 6G - Roln i ochrona środ.'!H28</f>
        <v>0</v>
      </c>
      <c r="F34" s="71">
        <f>+'Tab. 6G - Roln i ochrona środ.'!I28</f>
        <v>453868</v>
      </c>
      <c r="G34" s="71">
        <f>+'Tab. 6G - Roln i ochrona środ.'!J28</f>
        <v>569798</v>
      </c>
      <c r="H34" s="71">
        <f>+'Tab. 6G - Roln i ochrona środ.'!K28</f>
        <v>474487</v>
      </c>
      <c r="I34" s="71">
        <f>+'Tab. 6G - Roln i ochrona środ.'!L28</f>
        <v>126548</v>
      </c>
      <c r="J34" s="71">
        <f>+'Tab. 6G - Roln i ochrona środ.'!M28</f>
        <v>1639278</v>
      </c>
      <c r="K34" s="1590">
        <f>+'Tab. 6G - Roln i ochrona środ.'!N28</f>
        <v>14577</v>
      </c>
      <c r="L34" s="71">
        <f>+'Tab. 6G - Roln i ochrona środ.'!O28</f>
        <v>55625</v>
      </c>
      <c r="M34" s="73">
        <f>+'Tab. 6G - Roln i ochrona środ.'!P28</f>
        <v>0</v>
      </c>
      <c r="N34" s="73">
        <f>+'Tab. 6G - Roln i ochrona środ.'!Q28</f>
        <v>0</v>
      </c>
      <c r="O34" s="73">
        <f>+'Tab. 6G - Roln i ochrona środ.'!R28</f>
        <v>0</v>
      </c>
      <c r="P34" s="73">
        <f>+'Tab. 6G - Roln i ochrona środ.'!S28</f>
        <v>0</v>
      </c>
      <c r="Q34" s="73">
        <f>+'Tab. 6G - Roln i ochrona środ.'!T28</f>
        <v>0</v>
      </c>
      <c r="R34" s="73">
        <f>+'Tab. 6G - Roln i ochrona środ.'!U28</f>
        <v>0</v>
      </c>
      <c r="S34" s="73">
        <f>+'Tab. 6G - Roln i ochrona środ.'!V28</f>
        <v>0</v>
      </c>
      <c r="T34" s="73">
        <f>+'Tab. 6G - Roln i ochrona środ.'!W28</f>
        <v>0</v>
      </c>
      <c r="U34" s="1537">
        <f>J34+L34+M34+N34+O34+P34+Q34+R34+S34+T34</f>
        <v>1694903</v>
      </c>
      <c r="V34" s="3987"/>
      <c r="W34" s="31"/>
    </row>
    <row r="35" spans="1:25" s="39" customFormat="1" ht="14.25" customHeight="1">
      <c r="A35" s="54" t="s">
        <v>26</v>
      </c>
      <c r="B35" s="71">
        <f>+'Tab. 6G - Roln i ochrona środ.'!E26</f>
        <v>5935894</v>
      </c>
      <c r="C35" s="72">
        <f>+'Tab. 6G - Roln i ochrona środ.'!F26</f>
        <v>0</v>
      </c>
      <c r="D35" s="72">
        <f>+'Tab. 6G - Roln i ochrona środ.'!G26</f>
        <v>0</v>
      </c>
      <c r="E35" s="72">
        <f>+'Tab. 6G - Roln i ochrona środ.'!H26</f>
        <v>6647405</v>
      </c>
      <c r="F35" s="71">
        <f>+'Tab. 6G - Roln i ochrona środ.'!I26</f>
        <v>10285500</v>
      </c>
      <c r="G35" s="71">
        <f>+'Tab. 6G - Roln i ochrona środ.'!J26</f>
        <v>12796084</v>
      </c>
      <c r="H35" s="71">
        <f>+'Tab. 6G - Roln i ochrona środ.'!K26</f>
        <v>12744811</v>
      </c>
      <c r="I35" s="71">
        <f>+'Tab. 6G - Roln i ochrona środ.'!L26</f>
        <v>9659941</v>
      </c>
      <c r="J35" s="71">
        <f>+'Tab. 6G - Roln i ochrona środ.'!M26</f>
        <v>61103761</v>
      </c>
      <c r="K35" s="1590">
        <f>+'Tab. 6G - Roln i ochrona środ.'!N26</f>
        <v>9681531</v>
      </c>
      <c r="L35" s="71">
        <f>+'Tab. 6G - Roln i ochrona środ.'!O26</f>
        <v>4128235</v>
      </c>
      <c r="M35" s="71">
        <f>+'Tab. 6G - Roln i ochrona środ.'!P26</f>
        <v>0</v>
      </c>
      <c r="N35" s="71">
        <f>+'Tab. 6G - Roln i ochrona środ.'!Q26</f>
        <v>0</v>
      </c>
      <c r="O35" s="71">
        <f>+'Tab. 6G - Roln i ochrona środ.'!R26</f>
        <v>0</v>
      </c>
      <c r="P35" s="71">
        <f>+'Tab. 6G - Roln i ochrona środ.'!S26</f>
        <v>0</v>
      </c>
      <c r="Q35" s="71">
        <f>+'Tab. 6G - Roln i ochrona środ.'!T26</f>
        <v>0</v>
      </c>
      <c r="R35" s="71">
        <f>+'Tab. 6G - Roln i ochrona środ.'!U26</f>
        <v>0</v>
      </c>
      <c r="S35" s="71">
        <f>+'Tab. 6G - Roln i ochrona środ.'!V26</f>
        <v>0</v>
      </c>
      <c r="T35" s="71">
        <f>+'Tab. 6G - Roln i ochrona środ.'!W26</f>
        <v>0</v>
      </c>
      <c r="U35" s="1537">
        <f>J35+L35+M35+N35+O35+P35+Q35+R35+S35+T35</f>
        <v>65231996</v>
      </c>
      <c r="V35" s="3987"/>
      <c r="W35" s="31">
        <f>U35-U20</f>
        <v>0</v>
      </c>
    </row>
    <row r="36" spans="1:25" s="39" customFormat="1" ht="14.25" customHeight="1">
      <c r="A36" s="54" t="s">
        <v>27</v>
      </c>
      <c r="B36" s="55">
        <f>+'Tab. 6A -Drogi'!E26</f>
        <v>0</v>
      </c>
      <c r="C36" s="52">
        <f>+'Tab. 6A -Drogi'!F26</f>
        <v>0</v>
      </c>
      <c r="D36" s="52">
        <f>+'Tab. 6A -Drogi'!G26</f>
        <v>0</v>
      </c>
      <c r="E36" s="52">
        <f>+'Tab. 6A -Drogi'!H26</f>
        <v>0</v>
      </c>
      <c r="F36" s="52">
        <f>+'Tab. 6A -Drogi'!I26</f>
        <v>0</v>
      </c>
      <c r="G36" s="52">
        <f>+'Tab. 6A -Drogi'!J26</f>
        <v>2000000</v>
      </c>
      <c r="H36" s="52">
        <f>+'Tab. 6A -Drogi'!K26</f>
        <v>3524600</v>
      </c>
      <c r="I36" s="52">
        <f>+'Tab. 6A -Drogi'!L26</f>
        <v>1989864</v>
      </c>
      <c r="J36" s="52">
        <f>+'Tab. 6A -Drogi'!M26</f>
        <v>8514464</v>
      </c>
      <c r="K36" s="1590">
        <f>+'Tab. 6A -Drogi'!N26</f>
        <v>1000000</v>
      </c>
      <c r="L36" s="55">
        <f>+'Tab. 6A -Drogi'!O26</f>
        <v>0</v>
      </c>
      <c r="M36" s="55">
        <f>+'Tab. 6A -Drogi'!P26</f>
        <v>0</v>
      </c>
      <c r="N36" s="55">
        <f>+'Tab. 6A -Drogi'!Q26</f>
        <v>0</v>
      </c>
      <c r="O36" s="55">
        <f>+'Tab. 6A -Drogi'!R26</f>
        <v>0</v>
      </c>
      <c r="P36" s="55">
        <f>+'Tab. 6A -Drogi'!S26</f>
        <v>0</v>
      </c>
      <c r="Q36" s="55">
        <f>+'Tab. 6A -Drogi'!T26</f>
        <v>0</v>
      </c>
      <c r="R36" s="55">
        <f>+'Tab. 6A -Drogi'!U26</f>
        <v>0</v>
      </c>
      <c r="S36" s="55">
        <f>+'Tab. 6A -Drogi'!V26</f>
        <v>0</v>
      </c>
      <c r="T36" s="55">
        <f>+'Tab. 6A -Drogi'!W26</f>
        <v>0</v>
      </c>
      <c r="U36" s="1537">
        <f t="shared" ref="U36:U39" si="20">J36+L36+M36+N36+O36+P36+Q36+R36+S36+T36</f>
        <v>8514464</v>
      </c>
      <c r="V36" s="3987"/>
      <c r="W36" s="31">
        <f>U36-U21</f>
        <v>0</v>
      </c>
      <c r="X36" s="53"/>
    </row>
    <row r="37" spans="1:25" s="39" customFormat="1">
      <c r="A37" s="54" t="s">
        <v>28</v>
      </c>
      <c r="B37" s="58">
        <f>+'Tab. 6A -Drogi'!E27+'Tab. 6G - Roln i ochrona środ.'!E27</f>
        <v>0</v>
      </c>
      <c r="C37" s="59">
        <f>+'Tab. 6A -Drogi'!F27+'Tab. 6G - Roln i ochrona środ.'!F27</f>
        <v>0</v>
      </c>
      <c r="D37" s="59">
        <f>+'Tab. 6A -Drogi'!G27+'Tab. 6G - Roln i ochrona środ.'!G27</f>
        <v>0</v>
      </c>
      <c r="E37" s="59">
        <f>+'Tab. 6A -Drogi'!H27+'Tab. 6G - Roln i ochrona środ.'!H27</f>
        <v>0</v>
      </c>
      <c r="F37" s="59">
        <f>+'Tab. 6A -Drogi'!I27+'Tab. 6G - Roln i ochrona środ.'!I27</f>
        <v>0</v>
      </c>
      <c r="G37" s="59">
        <f>+'Tab. 6A -Drogi'!J27+'Tab. 6G - Roln i ochrona środ.'!J27</f>
        <v>5665000</v>
      </c>
      <c r="H37" s="59">
        <f>+'Tab. 6A -Drogi'!K27+'Tab. 6G - Roln i ochrona środ.'!K27</f>
        <v>10051777</v>
      </c>
      <c r="I37" s="59">
        <f>+'Tab. 6A -Drogi'!L27+'Tab. 6G - Roln i ochrona środ.'!L27</f>
        <v>9511339</v>
      </c>
      <c r="J37" s="59">
        <f>+'Tab. 6A -Drogi'!M27+'Tab. 6G - Roln i ochrona środ.'!M27+'Tab. 6E - Administracja'!M24</f>
        <v>40301652</v>
      </c>
      <c r="K37" s="1592">
        <f>+'Tab. 6A -Drogi'!N27+'Tab. 6G - Roln i ochrona środ.'!N27</f>
        <v>15073536</v>
      </c>
      <c r="L37" s="59">
        <f>+'Tab. 6A -Drogi'!O27+'Tab. 6G - Roln i ochrona środ.'!O27+'Tab. 6E - Administracja'!O24</f>
        <v>6553250</v>
      </c>
      <c r="M37" s="59">
        <f>+'Tab. 6A -Drogi'!P27+'Tab. 6G - Roln i ochrona środ.'!P27+'Tab. 6E - Administracja'!P24</f>
        <v>13901163</v>
      </c>
      <c r="N37" s="59">
        <f>+'Tab. 6A -Drogi'!Q27+'Tab. 6G - Roln i ochrona środ.'!Q27+'Tab. 6E - Administracja'!Q24</f>
        <v>8419285</v>
      </c>
      <c r="O37" s="59">
        <f>+'Tab. 6A -Drogi'!R27+'Tab. 6G - Roln i ochrona środ.'!R27+'Tab. 6E - Administracja'!R24</f>
        <v>12400585</v>
      </c>
      <c r="P37" s="59">
        <f>+'Tab. 6A -Drogi'!S27+'Tab. 6G - Roln i ochrona środ.'!S27+'Tab. 6E - Administracja'!S24</f>
        <v>3328200</v>
      </c>
      <c r="Q37" s="59">
        <f>+'Tab. 6A -Drogi'!T27+'Tab. 6G - Roln i ochrona środ.'!T27+'Tab. 6E - Administracja'!T24</f>
        <v>1394500</v>
      </c>
      <c r="R37" s="59">
        <f>+'Tab. 6A -Drogi'!U27+'Tab. 6G - Roln i ochrona środ.'!U27+'Tab. 6E - Administracja'!U24</f>
        <v>0</v>
      </c>
      <c r="S37" s="59">
        <f>+'Tab. 6A -Drogi'!V27+'Tab. 6G - Roln i ochrona środ.'!V27+'Tab. 6E - Administracja'!V24</f>
        <v>0</v>
      </c>
      <c r="T37" s="59">
        <f>+'Tab. 6A -Drogi'!W27+'Tab. 6G - Roln i ochrona środ.'!W27+'Tab. 6E - Administracja'!W24</f>
        <v>0</v>
      </c>
      <c r="U37" s="1537">
        <f t="shared" si="20"/>
        <v>86298635</v>
      </c>
      <c r="V37" s="3987"/>
      <c r="W37" s="31">
        <f>U37-U22</f>
        <v>0</v>
      </c>
    </row>
    <row r="38" spans="1:25" s="39" customFormat="1" ht="15" customHeight="1">
      <c r="A38" s="54" t="s">
        <v>29</v>
      </c>
      <c r="B38" s="74">
        <f>+'Tab. 6A -Drogi'!E28</f>
        <v>0</v>
      </c>
      <c r="C38" s="52">
        <f>+'Tab. 6A -Drogi'!F28</f>
        <v>0</v>
      </c>
      <c r="D38" s="52">
        <f>+'Tab. 6A -Drogi'!G28</f>
        <v>0</v>
      </c>
      <c r="E38" s="52">
        <f>+'Tab. 6A -Drogi'!H28</f>
        <v>0</v>
      </c>
      <c r="F38" s="55">
        <f>+'Tab. 6A -Drogi'!I28</f>
        <v>0</v>
      </c>
      <c r="G38" s="52">
        <f>+'Tab. 6A -Drogi'!J28</f>
        <v>14008762</v>
      </c>
      <c r="H38" s="52">
        <f>+'Tab. 6A -Drogi'!K28</f>
        <v>9006468</v>
      </c>
      <c r="I38" s="52">
        <f>+'Tab. 6A -Drogi'!L28</f>
        <v>3091421</v>
      </c>
      <c r="J38" s="52">
        <f>+'Tab. 6A -Drogi'!M28</f>
        <v>28981695</v>
      </c>
      <c r="K38" s="1590">
        <f>+'Tab. 6A -Drogi'!N28</f>
        <v>2875044</v>
      </c>
      <c r="L38" s="52">
        <f>+'Tab. 6A -Drogi'!O28</f>
        <v>703083</v>
      </c>
      <c r="M38" s="55">
        <f>+'Tab. 6A -Drogi'!P28</f>
        <v>911</v>
      </c>
      <c r="N38" s="55">
        <f>+'Tab. 6A -Drogi'!Q28</f>
        <v>0</v>
      </c>
      <c r="O38" s="55">
        <f>+'Tab. 6A -Drogi'!R28</f>
        <v>0</v>
      </c>
      <c r="P38" s="55">
        <f>+'Tab. 6A -Drogi'!S28</f>
        <v>0</v>
      </c>
      <c r="Q38" s="55">
        <f>+'Tab. 6A -Drogi'!T28</f>
        <v>0</v>
      </c>
      <c r="R38" s="55">
        <f>+'Tab. 6A -Drogi'!U28</f>
        <v>0</v>
      </c>
      <c r="S38" s="55">
        <f>+'Tab. 6A -Drogi'!V28</f>
        <v>0</v>
      </c>
      <c r="T38" s="55">
        <f>+'Tab. 6A -Drogi'!W28</f>
        <v>0</v>
      </c>
      <c r="U38" s="1537">
        <f t="shared" si="20"/>
        <v>29685689</v>
      </c>
      <c r="V38" s="3987"/>
      <c r="W38" s="31">
        <f>U38-U23</f>
        <v>0</v>
      </c>
    </row>
    <row r="39" spans="1:25" s="39" customFormat="1" ht="25.5" customHeight="1">
      <c r="A39" s="51" t="s">
        <v>38</v>
      </c>
      <c r="B39" s="61">
        <f>+'Tab. 6A -Drogi'!E29</f>
        <v>0</v>
      </c>
      <c r="C39" s="60">
        <f>+'Tab. 6A -Drogi'!F29</f>
        <v>0</v>
      </c>
      <c r="D39" s="60">
        <f>+'Tab. 6A -Drogi'!G29</f>
        <v>0</v>
      </c>
      <c r="E39" s="60">
        <f>+'Tab. 6A -Drogi'!H29</f>
        <v>0</v>
      </c>
      <c r="F39" s="61">
        <f>+'Tab. 6A -Drogi'!I29</f>
        <v>0</v>
      </c>
      <c r="G39" s="61">
        <f>+'Tab. 6A -Drogi'!J29</f>
        <v>0</v>
      </c>
      <c r="H39" s="61">
        <f>+'Tab. 6A -Drogi'!K29</f>
        <v>0</v>
      </c>
      <c r="I39" s="60">
        <f>+'Tab. 6A -Drogi'!L29</f>
        <v>841481</v>
      </c>
      <c r="J39" s="60">
        <f>+'Tab. 6A -Drogi'!M29</f>
        <v>841481</v>
      </c>
      <c r="K39" s="1596">
        <f>+'Tab. 6A -Drogi'!N29</f>
        <v>0</v>
      </c>
      <c r="L39" s="61">
        <f>+'Tab. 6A -Drogi'!O29</f>
        <v>0</v>
      </c>
      <c r="M39" s="61">
        <f>+'Tab. 6A -Drogi'!P29</f>
        <v>0</v>
      </c>
      <c r="N39" s="61">
        <f>+'Tab. 6A -Drogi'!Q29</f>
        <v>0</v>
      </c>
      <c r="O39" s="61">
        <f>+'Tab. 6A -Drogi'!R29</f>
        <v>0</v>
      </c>
      <c r="P39" s="61">
        <f>+'Tab. 6A -Drogi'!S29</f>
        <v>0</v>
      </c>
      <c r="Q39" s="61">
        <f>+'Tab. 6A -Drogi'!T29</f>
        <v>0</v>
      </c>
      <c r="R39" s="61">
        <f>+'Tab. 6A -Drogi'!U29</f>
        <v>0</v>
      </c>
      <c r="S39" s="61">
        <f>+'Tab. 6A -Drogi'!V29</f>
        <v>0</v>
      </c>
      <c r="T39" s="61">
        <f>+'Tab. 6A -Drogi'!W29</f>
        <v>0</v>
      </c>
      <c r="U39" s="1537">
        <f t="shared" si="20"/>
        <v>841481</v>
      </c>
      <c r="V39" s="3987"/>
      <c r="W39" s="31"/>
    </row>
    <row r="40" spans="1:25" s="39" customFormat="1" ht="16.5" customHeight="1">
      <c r="A40" s="62" t="s">
        <v>30</v>
      </c>
      <c r="B40" s="70" t="e">
        <f>SUM(B41:B45)</f>
        <v>#REF!</v>
      </c>
      <c r="C40" s="75" t="e">
        <f t="shared" ref="C40:N40" si="21">SUM(C41:C45)</f>
        <v>#REF!</v>
      </c>
      <c r="D40" s="75" t="e">
        <f t="shared" si="21"/>
        <v>#REF!</v>
      </c>
      <c r="E40" s="75" t="e">
        <f t="shared" si="21"/>
        <v>#REF!</v>
      </c>
      <c r="F40" s="75" t="e">
        <f t="shared" si="21"/>
        <v>#REF!</v>
      </c>
      <c r="G40" s="75" t="e">
        <f t="shared" si="21"/>
        <v>#REF!</v>
      </c>
      <c r="H40" s="75" t="e">
        <f t="shared" si="21"/>
        <v>#REF!</v>
      </c>
      <c r="I40" s="75" t="e">
        <f t="shared" si="21"/>
        <v>#REF!</v>
      </c>
      <c r="J40" s="75">
        <f t="shared" si="21"/>
        <v>631189509</v>
      </c>
      <c r="K40" s="1597">
        <f t="shared" si="21"/>
        <v>232539827</v>
      </c>
      <c r="L40" s="75">
        <f t="shared" si="21"/>
        <v>202952808</v>
      </c>
      <c r="M40" s="75">
        <f t="shared" si="21"/>
        <v>159126142</v>
      </c>
      <c r="N40" s="75">
        <f t="shared" si="21"/>
        <v>218379288</v>
      </c>
      <c r="O40" s="75">
        <f>SUM(O41:O45)</f>
        <v>154515864</v>
      </c>
      <c r="P40" s="75">
        <f t="shared" ref="P40:T40" si="22">SUM(P41:P45)</f>
        <v>63031525</v>
      </c>
      <c r="Q40" s="75">
        <f t="shared" si="22"/>
        <v>43930248</v>
      </c>
      <c r="R40" s="75">
        <f t="shared" si="22"/>
        <v>30574519</v>
      </c>
      <c r="S40" s="75">
        <f t="shared" si="22"/>
        <v>30240549</v>
      </c>
      <c r="T40" s="75">
        <f t="shared" si="22"/>
        <v>30342746</v>
      </c>
      <c r="U40" s="103">
        <f>SUM(U41:U45)</f>
        <v>1564283198</v>
      </c>
      <c r="V40" s="3987"/>
      <c r="W40" s="31"/>
    </row>
    <row r="41" spans="1:25" s="39" customFormat="1" ht="15.75" hidden="1" customHeight="1">
      <c r="A41" s="76" t="s">
        <v>29</v>
      </c>
      <c r="B41" s="77">
        <f>+'Tab. 6A -Drogi'!E31</f>
        <v>0</v>
      </c>
      <c r="C41" s="77">
        <f>+'Tab. 6A -Drogi'!F31</f>
        <v>0</v>
      </c>
      <c r="D41" s="77">
        <f>+'Tab. 6A -Drogi'!G31</f>
        <v>0</v>
      </c>
      <c r="E41" s="77">
        <f>+'Tab. 6A -Drogi'!H31</f>
        <v>0</v>
      </c>
      <c r="F41" s="77">
        <f>+'Tab. 6A -Drogi'!I31</f>
        <v>0</v>
      </c>
      <c r="G41" s="77">
        <f>+'Tab. 6A -Drogi'!J31</f>
        <v>0</v>
      </c>
      <c r="H41" s="77">
        <f>+'Tab. 6A -Drogi'!K31</f>
        <v>0</v>
      </c>
      <c r="I41" s="77">
        <f>+'Tab. 6A -Drogi'!L31</f>
        <v>0</v>
      </c>
      <c r="J41" s="77"/>
      <c r="K41" s="1598">
        <f>+'Tab. 6A -Drogi'!N31</f>
        <v>0</v>
      </c>
      <c r="L41" s="77">
        <f>+'Tab. 6A -Drogi'!O31</f>
        <v>0</v>
      </c>
      <c r="M41" s="77">
        <f>+'Tab. 6A -Drogi'!P31</f>
        <v>0</v>
      </c>
      <c r="N41" s="78"/>
      <c r="O41" s="78"/>
      <c r="P41" s="78"/>
      <c r="Q41" s="78"/>
      <c r="R41" s="77"/>
      <c r="S41" s="1551"/>
      <c r="T41" s="77"/>
      <c r="U41" s="1535">
        <f>+B41+F41+G41+H41+I41+K41+L41+M41</f>
        <v>0</v>
      </c>
      <c r="V41" s="3987"/>
      <c r="W41" s="31"/>
    </row>
    <row r="42" spans="1:25" s="39" customFormat="1" ht="14.25" hidden="1" customHeight="1">
      <c r="A42" s="54" t="s">
        <v>31</v>
      </c>
      <c r="B42" s="55">
        <f>+'Tab. 6A -Drogi'!E34</f>
        <v>0</v>
      </c>
      <c r="C42" s="55">
        <f>+'Tab. 6A -Drogi'!F34</f>
        <v>0</v>
      </c>
      <c r="D42" s="55">
        <f>+'Tab. 6A -Drogi'!G34</f>
        <v>0</v>
      </c>
      <c r="E42" s="55">
        <f>+'Tab. 6A -Drogi'!H34</f>
        <v>0</v>
      </c>
      <c r="F42" s="55">
        <f>+'Tab. 6A -Drogi'!I34</f>
        <v>0</v>
      </c>
      <c r="G42" s="55">
        <f>+'Tab. 6A -Drogi'!J34</f>
        <v>0</v>
      </c>
      <c r="H42" s="55">
        <f>+'Tab. 6A -Drogi'!K34</f>
        <v>0</v>
      </c>
      <c r="I42" s="52">
        <f>+'Tab. 6A -Drogi'!L34</f>
        <v>0</v>
      </c>
      <c r="J42" s="52">
        <f>+'Tab. 6A -Drogi'!M34</f>
        <v>0</v>
      </c>
      <c r="K42" s="1590">
        <f>+'Tab. 6A -Drogi'!N34</f>
        <v>0</v>
      </c>
      <c r="L42" s="52">
        <f>+'Tab. 6A -Drogi'!O34</f>
        <v>0</v>
      </c>
      <c r="M42" s="52">
        <f>+'Tab. 6A -Drogi'!P34</f>
        <v>0</v>
      </c>
      <c r="N42" s="52">
        <f>+'Tab. 6A -Drogi'!Q34</f>
        <v>0</v>
      </c>
      <c r="O42" s="52">
        <f>+'Tab. 6A -Drogi'!R34</f>
        <v>0</v>
      </c>
      <c r="P42" s="52">
        <f>+'Tab. 6A -Drogi'!S34</f>
        <v>0</v>
      </c>
      <c r="Q42" s="52">
        <f>+'Tab. 6A -Drogi'!T34</f>
        <v>0</v>
      </c>
      <c r="R42" s="52">
        <f>+'Tab. 6A -Drogi'!U34</f>
        <v>0</v>
      </c>
      <c r="S42" s="52">
        <f>+'Tab. 6A -Drogi'!V34</f>
        <v>0</v>
      </c>
      <c r="T42" s="52">
        <f>+'Tab. 6A -Drogi'!W34</f>
        <v>0</v>
      </c>
      <c r="U42" s="1537">
        <f>J42+L42+M42+N42+O42+P42+Q42+R42+S42+T42</f>
        <v>0</v>
      </c>
      <c r="V42" s="3987"/>
      <c r="W42" s="31">
        <f>U42-U27</f>
        <v>0</v>
      </c>
    </row>
    <row r="43" spans="1:25" s="39" customFormat="1" ht="15.75" customHeight="1">
      <c r="A43" s="54" t="s">
        <v>26</v>
      </c>
      <c r="B43" s="52">
        <f>+'Tab. 6G - Roln i ochrona środ.'!E32</f>
        <v>10594223</v>
      </c>
      <c r="C43" s="52">
        <f>+'Tab. 6G - Roln i ochrona środ.'!F32</f>
        <v>0</v>
      </c>
      <c r="D43" s="52">
        <f>+'Tab. 6G - Roln i ochrona środ.'!G32</f>
        <v>0</v>
      </c>
      <c r="E43" s="52">
        <f>+'Tab. 6G - Roln i ochrona środ.'!H32</f>
        <v>3058368</v>
      </c>
      <c r="F43" s="52">
        <f>+'Tab. 6G - Roln i ochrona środ.'!I32</f>
        <v>17692550</v>
      </c>
      <c r="G43" s="52">
        <f>+'Tab. 6G - Roln i ochrona środ.'!J32</f>
        <v>2998223</v>
      </c>
      <c r="H43" s="52">
        <f>+'Tab. 6G - Roln i ochrona środ.'!K32</f>
        <v>3753212</v>
      </c>
      <c r="I43" s="52">
        <f>+'Tab. 6G - Roln i ochrona środ.'!L32</f>
        <v>4711864</v>
      </c>
      <c r="J43" s="52">
        <f>+'Tab. 6G - Roln i ochrona środ.'!M32</f>
        <v>44183146</v>
      </c>
      <c r="K43" s="1590">
        <f>+'Tab. 6G - Roln i ochrona środ.'!N32</f>
        <v>4433074</v>
      </c>
      <c r="L43" s="52">
        <f>+'Tab. 6G - Roln i ochrona środ.'!O32</f>
        <v>1613741</v>
      </c>
      <c r="M43" s="52">
        <f>+'Tab. 6G - Roln i ochrona środ.'!P32</f>
        <v>0</v>
      </c>
      <c r="N43" s="52">
        <f>+'Tab. 6G - Roln i ochrona środ.'!Q32</f>
        <v>0</v>
      </c>
      <c r="O43" s="52">
        <f>+'Tab. 6G - Roln i ochrona środ.'!R32</f>
        <v>0</v>
      </c>
      <c r="P43" s="52">
        <f>+'Tab. 6G - Roln i ochrona środ.'!S32</f>
        <v>0</v>
      </c>
      <c r="Q43" s="52">
        <f>+'Tab. 6G - Roln i ochrona środ.'!T32</f>
        <v>0</v>
      </c>
      <c r="R43" s="52">
        <f>+'Tab. 6G - Roln i ochrona środ.'!U32</f>
        <v>0</v>
      </c>
      <c r="S43" s="52">
        <f>+'Tab. 6G - Roln i ochrona środ.'!V32</f>
        <v>0</v>
      </c>
      <c r="T43" s="52">
        <f>+'Tab. 6G - Roln i ochrona środ.'!W32</f>
        <v>0</v>
      </c>
      <c r="U43" s="1537">
        <f>J43+L43+M43+N43+O43+P43+Q43+R43+S43+T43</f>
        <v>45796887</v>
      </c>
      <c r="V43" s="3987"/>
      <c r="W43" s="31">
        <f>U43-U29</f>
        <v>0</v>
      </c>
    </row>
    <row r="44" spans="1:25" s="39" customFormat="1" ht="14.25" customHeight="1">
      <c r="A44" s="54" t="s">
        <v>32</v>
      </c>
      <c r="B44" s="56">
        <f>+'Tab. 6A -Drogi'!E32+'Tab. 6G - Roln i ochrona środ.'!E33+'Tab. 6D - Oświata'!E20</f>
        <v>0</v>
      </c>
      <c r="C44" s="56">
        <f>+'Tab. 6A -Drogi'!F32+'Tab. 6G - Roln i ochrona środ.'!F33+'Tab. 6D - Oświata'!F20</f>
        <v>0</v>
      </c>
      <c r="D44" s="56">
        <f>+'Tab. 6A -Drogi'!G32+'Tab. 6G - Roln i ochrona środ.'!G33+'Tab. 6D - Oświata'!G20</f>
        <v>0</v>
      </c>
      <c r="E44" s="56">
        <f>+'Tab. 6A -Drogi'!H32+'Tab. 6G - Roln i ochrona środ.'!H33+'Tab. 6D - Oświata'!H20</f>
        <v>0</v>
      </c>
      <c r="F44" s="56">
        <f>+'Tab. 6A -Drogi'!I32+'Tab. 6G - Roln i ochrona środ.'!I33+'Tab. 6D - Oświata'!I20</f>
        <v>1361604</v>
      </c>
      <c r="G44" s="56">
        <f>+'Tab. 6A -Drogi'!J32+'Tab. 6G - Roln i ochrona środ.'!J33+'Tab. 6D - Oświata'!J20</f>
        <v>5499223</v>
      </c>
      <c r="H44" s="56">
        <f>+'Tab. 6A -Drogi'!K32+'Tab. 6G - Roln i ochrona środ.'!K33+'Tab. 6D - Oświata'!K20</f>
        <v>5828817</v>
      </c>
      <c r="I44" s="56">
        <f>+'Tab. 6A -Drogi'!L32+'Tab. 6G - Roln i ochrona środ.'!L33+'Tab. 6D - Oświata'!L20</f>
        <v>3895587</v>
      </c>
      <c r="J44" s="56">
        <f>+'Tab. 6A -Drogi'!M32+'Tab. 6G - Roln i ochrona środ.'!M33+'Tab. 6D - Oświata'!M20</f>
        <v>16936636</v>
      </c>
      <c r="K44" s="1591">
        <f>+'Tab. 6A -Drogi'!N32+'Tab. 6G - Roln i ochrona środ.'!N33+'Tab. 6D - Oświata'!N20</f>
        <v>351405</v>
      </c>
      <c r="L44" s="56">
        <f>+'Tab. 6A -Drogi'!O32+'Tab. 6G - Roln i ochrona środ.'!O33+'Tab. 6D - Oświata'!O20</f>
        <v>317927</v>
      </c>
      <c r="M44" s="56">
        <f>+'Tab. 6A -Drogi'!P32+'Tab. 6G - Roln i ochrona środ.'!P33+'Tab. 6D - Oświata'!P20</f>
        <v>7105906</v>
      </c>
      <c r="N44" s="56">
        <f>+'Tab. 6A -Drogi'!Q32+'Tab. 6G - Roln i ochrona środ.'!Q33+'Tab. 6D - Oświata'!Q20</f>
        <v>6258282</v>
      </c>
      <c r="O44" s="56">
        <f>+'Tab. 6A -Drogi'!R32+'Tab. 6G - Roln i ochrona środ.'!R33+'Tab. 6D - Oświata'!R20</f>
        <v>1727118</v>
      </c>
      <c r="P44" s="56">
        <f>+'Tab. 6A -Drogi'!S32+'Tab. 6G - Roln i ochrona środ.'!S33+'Tab. 6D - Oświata'!S20</f>
        <v>229775</v>
      </c>
      <c r="Q44" s="56">
        <f>+'Tab. 6A -Drogi'!T32+'Tab. 6G - Roln i ochrona środ.'!T33+'Tab. 6D - Oświata'!T20</f>
        <v>0</v>
      </c>
      <c r="R44" s="56">
        <f>+'Tab. 6A -Drogi'!U32+'Tab. 6G - Roln i ochrona środ.'!U33+'Tab. 6D - Oświata'!U20</f>
        <v>0</v>
      </c>
      <c r="S44" s="56">
        <f>+'Tab. 6A -Drogi'!V32+'Tab. 6G - Roln i ochrona środ.'!V33+'Tab. 6D - Oświata'!V20</f>
        <v>0</v>
      </c>
      <c r="T44" s="56">
        <f>+'Tab. 6A -Drogi'!W32+'Tab. 6G - Roln i ochrona środ.'!W33+'Tab. 6D - Oświata'!W20</f>
        <v>0</v>
      </c>
      <c r="U44" s="1537">
        <f>J44+L44+M44+N44+O44+P44+Q44+R44+S44+T44</f>
        <v>32575644</v>
      </c>
      <c r="V44" s="3987"/>
      <c r="W44" s="31">
        <f>U44-U28-U26</f>
        <v>7650037</v>
      </c>
      <c r="X44" s="53" t="s">
        <v>604</v>
      </c>
    </row>
    <row r="45" spans="1:25" s="39" customFormat="1" ht="15.75" customHeight="1">
      <c r="A45" s="54" t="s">
        <v>33</v>
      </c>
      <c r="B45" s="52" t="e">
        <f>+'Tab. 6B Polit społ i rozwój prz'!E21+'Tab. 6A -Drogi'!E33+'Tab. 6E - Administracja'!E26+'Tab. 6G - Roln i ochrona środ.'!E31+'Tab. 6H - Kultura fiz. i turyst'!E19+'Tab.6I - Planow. przestrz.'!E19</f>
        <v>#REF!</v>
      </c>
      <c r="C45" s="52" t="e">
        <f>+'Tab. 6B Polit społ i rozwój prz'!F21+'Tab. 6A -Drogi'!F33+'Tab. 6E - Administracja'!F26+'Tab. 6G - Roln i ochrona środ.'!F31+'Tab. 6H - Kultura fiz. i turyst'!F19+'Tab.6I - Planow. przestrz.'!F19</f>
        <v>#REF!</v>
      </c>
      <c r="D45" s="52" t="e">
        <f>+'Tab. 6B Polit społ i rozwój prz'!G21+'Tab. 6A -Drogi'!G33+'Tab. 6E - Administracja'!G26+'Tab. 6G - Roln i ochrona środ.'!G31+'Tab. 6H - Kultura fiz. i turyst'!G19+'Tab.6I - Planow. przestrz.'!G19</f>
        <v>#REF!</v>
      </c>
      <c r="E45" s="52" t="e">
        <f>+'Tab. 6B Polit społ i rozwój prz'!H21+'Tab. 6A -Drogi'!H33+'Tab. 6E - Administracja'!H26+'Tab. 6G - Roln i ochrona środ.'!H31+'Tab. 6H - Kultura fiz. i turyst'!H19+'Tab.6I - Planow. przestrz.'!H19</f>
        <v>#REF!</v>
      </c>
      <c r="F45" s="52" t="e">
        <f>+'Tab. 6B Polit społ i rozwój prz'!I21+'Tab. 6A -Drogi'!I33+'Tab. 6E - Administracja'!I26+'Tab. 6G - Roln i ochrona środ.'!I31+'Tab. 6H - Kultura fiz. i turyst'!I19+'Tab.6I - Planow. przestrz.'!I19</f>
        <v>#REF!</v>
      </c>
      <c r="G45" s="52" t="e">
        <f>+'Tab. 6B Polit społ i rozwój prz'!J21+'Tab. 6A -Drogi'!J33+'Tab. 6E - Administracja'!J26+'Tab. 6G - Roln i ochrona środ.'!J31+'Tab. 6H - Kultura fiz. i turyst'!J19+'Tab.6I - Planow. przestrz.'!J19</f>
        <v>#REF!</v>
      </c>
      <c r="H45" s="52" t="e">
        <f>+'Tab. 6B Polit społ i rozwój prz'!K21+'Tab. 6A -Drogi'!K33+'Tab. 6E - Administracja'!K26+'Tab. 6G - Roln i ochrona środ.'!K31+'Tab. 6H - Kultura fiz. i turyst'!K19+'Tab.6I - Planow. przestrz.'!K19</f>
        <v>#REF!</v>
      </c>
      <c r="I45" s="52" t="e">
        <f>+'Tab. 6B Polit społ i rozwój prz'!L21+'Tab. 6A -Drogi'!L33+'Tab. 6E - Administracja'!L26+'Tab. 6G - Roln i ochrona środ.'!L31+'Tab. 6H - Kultura fiz. i turyst'!L19+'Tab.6I - Planow. przestrz.'!L19</f>
        <v>#REF!</v>
      </c>
      <c r="J45" s="52">
        <f>+'Tab. 6B Polit społ i rozwój prz'!M21+'Tab. 6A -Drogi'!M33+'Tab. 6E - Administracja'!M26+'Tab. 6G - Roln i ochrona środ.'!M31+'Tab. 6H - Kultura fiz. i turyst'!M19+'Tab.6I - Planow. przestrz.'!M19</f>
        <v>570069727</v>
      </c>
      <c r="K45" s="1590">
        <f>+'Tab. 6B Polit społ i rozwój prz'!N21+'Tab. 6A -Drogi'!N33+'Tab. 6E - Administracja'!N26+'Tab. 6G - Roln i ochrona środ.'!N31+'Tab. 6H - Kultura fiz. i turyst'!N19+'Tab.6I - Planow. przestrz.'!N19</f>
        <v>227755348</v>
      </c>
      <c r="L45" s="52">
        <f>+'Tab. 6B Polit społ i rozwój prz'!O21+'Tab. 6A -Drogi'!O33+'Tab. 6E - Administracja'!O26+'Tab. 6G - Roln i ochrona środ.'!O31+'Tab. 6H - Kultura fiz. i turyst'!O19+'Tab.6I - Planow. przestrz.'!O19</f>
        <v>201021140</v>
      </c>
      <c r="M45" s="52">
        <f>+'Tab. 6B Polit społ i rozwój prz'!P21+'Tab. 6A -Drogi'!P33+'Tab. 6E - Administracja'!P26+'Tab. 6G - Roln i ochrona środ.'!P31+'Tab. 6H - Kultura fiz. i turyst'!P19+'Tab.6I - Planow. przestrz.'!P19</f>
        <v>152020236</v>
      </c>
      <c r="N45" s="56">
        <f>+'Tab. 6B Polit społ i rozwój prz'!Q21+'Tab. 6A -Drogi'!Q33+'Tab. 6E - Administracja'!Q26+'Tab. 6G - Roln i ochrona środ.'!Q31+'Tab. 6H - Kultura fiz. i turyst'!Q19+'Tab.6I - Planow. przestrz.'!Q19</f>
        <v>212121006</v>
      </c>
      <c r="O45" s="56">
        <f>+'Tab. 6B Polit społ i rozwój prz'!R21+'Tab. 6A -Drogi'!R33+'Tab. 6E - Administracja'!R26+'Tab. 6G - Roln i ochrona środ.'!R31+'Tab. 6H - Kultura fiz. i turyst'!R19+'Tab.6I - Planow. przestrz.'!R19</f>
        <v>152788746</v>
      </c>
      <c r="P45" s="56">
        <f>+'Tab. 6B Polit społ i rozwój prz'!S21+'Tab. 6A -Drogi'!S33+'Tab. 6E - Administracja'!S26+'Tab. 6G - Roln i ochrona środ.'!S31+'Tab. 6H - Kultura fiz. i turyst'!S19+'Tab.6I - Planow. przestrz.'!S19</f>
        <v>62801750</v>
      </c>
      <c r="Q45" s="56">
        <f>+'Tab. 6B Polit społ i rozwój prz'!T21+'Tab. 6A -Drogi'!T33+'Tab. 6E - Administracja'!T26+'Tab. 6G - Roln i ochrona środ.'!T31+'Tab. 6H - Kultura fiz. i turyst'!T19+'Tab.6I - Planow. przestrz.'!T19</f>
        <v>43930248</v>
      </c>
      <c r="R45" s="56">
        <f>+'Tab. 6B Polit społ i rozwój prz'!U21+'Tab. 6A -Drogi'!U33+'Tab. 6E - Administracja'!U26+'Tab. 6G - Roln i ochrona środ.'!U31+'Tab. 6H - Kultura fiz. i turyst'!U19+'Tab.6I - Planow. przestrz.'!U19</f>
        <v>30574519</v>
      </c>
      <c r="S45" s="56">
        <f>+'Tab. 6B Polit społ i rozwój prz'!V21+'Tab. 6A -Drogi'!V33+'Tab. 6E - Administracja'!V26+'Tab. 6G - Roln i ochrona środ.'!V31+'Tab. 6H - Kultura fiz. i turyst'!V19+'Tab.6I - Planow. przestrz.'!V19</f>
        <v>30240549</v>
      </c>
      <c r="T45" s="56">
        <f>+'Tab. 6B Polit społ i rozwój prz'!W21+'Tab. 6A -Drogi'!W33+'Tab. 6E - Administracja'!W26+'Tab. 6G - Roln i ochrona środ.'!W31+'Tab. 6H - Kultura fiz. i turyst'!W19+'Tab.6I - Planow. przestrz.'!W19</f>
        <v>30342746</v>
      </c>
      <c r="U45" s="1537">
        <f>J45+L45+M45+N45+O45+P45+Q45+R45+S45+T45</f>
        <v>1485910667</v>
      </c>
      <c r="V45" s="3988"/>
      <c r="W45" s="1544">
        <f>U45-U30</f>
        <v>-14830</v>
      </c>
      <c r="X45" s="53" t="s">
        <v>592</v>
      </c>
    </row>
    <row r="46" spans="1:25" s="39" customFormat="1" ht="3.75" customHeight="1" thickBot="1">
      <c r="A46" s="36"/>
      <c r="B46" s="37"/>
      <c r="C46" s="37"/>
      <c r="D46" s="37"/>
      <c r="E46" s="37"/>
      <c r="F46" s="81"/>
      <c r="G46" s="37"/>
      <c r="H46" s="37"/>
      <c r="I46" s="37"/>
      <c r="J46" s="37"/>
      <c r="K46" s="1587"/>
      <c r="L46" s="37"/>
      <c r="M46" s="37"/>
      <c r="N46" s="37"/>
      <c r="O46" s="37"/>
      <c r="P46" s="37"/>
      <c r="Q46" s="37"/>
      <c r="R46" s="89"/>
      <c r="S46" s="81"/>
      <c r="T46" s="89"/>
      <c r="U46" s="1540"/>
      <c r="V46" s="38"/>
      <c r="W46" s="31"/>
    </row>
    <row r="47" spans="1:25" s="46" customFormat="1" ht="18.75" customHeight="1" thickBot="1">
      <c r="A47" s="1524" t="s">
        <v>39</v>
      </c>
      <c r="B47" s="1525" t="e">
        <f t="shared" ref="B47:I47" si="23">+B16</f>
        <v>#REF!</v>
      </c>
      <c r="C47" s="1526" t="e">
        <f t="shared" si="23"/>
        <v>#REF!</v>
      </c>
      <c r="D47" s="1526" t="e">
        <f t="shared" si="23"/>
        <v>#REF!</v>
      </c>
      <c r="E47" s="1526" t="e">
        <f t="shared" si="23"/>
        <v>#REF!</v>
      </c>
      <c r="F47" s="1525" t="e">
        <f t="shared" si="23"/>
        <v>#REF!</v>
      </c>
      <c r="G47" s="1525" t="e">
        <f t="shared" si="23"/>
        <v>#REF!</v>
      </c>
      <c r="H47" s="1525" t="e">
        <f t="shared" si="23"/>
        <v>#REF!</v>
      </c>
      <c r="I47" s="1525" t="e">
        <f t="shared" si="23"/>
        <v>#REF!</v>
      </c>
      <c r="J47" s="1525">
        <f>+J16-J24</f>
        <v>847125661.29999995</v>
      </c>
      <c r="K47" s="1599">
        <f t="shared" ref="K47:T47" si="24">+K16-K24</f>
        <v>285617690</v>
      </c>
      <c r="L47" s="1525">
        <f t="shared" si="24"/>
        <v>220158200</v>
      </c>
      <c r="M47" s="1525">
        <f t="shared" si="24"/>
        <v>177936663</v>
      </c>
      <c r="N47" s="1525">
        <f t="shared" si="24"/>
        <v>251303374</v>
      </c>
      <c r="O47" s="1525">
        <f t="shared" si="24"/>
        <v>187438471</v>
      </c>
      <c r="P47" s="1525">
        <f t="shared" si="24"/>
        <v>74660246</v>
      </c>
      <c r="Q47" s="1525">
        <f t="shared" si="24"/>
        <v>52752231</v>
      </c>
      <c r="R47" s="1525">
        <f t="shared" si="24"/>
        <v>36656133</v>
      </c>
      <c r="S47" s="1525">
        <f t="shared" si="24"/>
        <v>34123337</v>
      </c>
      <c r="T47" s="1525">
        <f t="shared" si="24"/>
        <v>34288222</v>
      </c>
      <c r="U47" s="1547">
        <f>+U16-U24</f>
        <v>1916442538.3</v>
      </c>
      <c r="V47" s="1527">
        <f>M47+N47+O47+P47+Q47+R47+S47+T47</f>
        <v>849158677</v>
      </c>
      <c r="W47" s="44">
        <f>J47+L47+M47+N47+O47+P47+Q47+R47+S47+T47</f>
        <v>1916442538.3</v>
      </c>
      <c r="X47" s="45">
        <f>W47-U47</f>
        <v>0</v>
      </c>
      <c r="Y47" s="45"/>
    </row>
    <row r="48" spans="1:25" s="46" customFormat="1" ht="16.5" customHeight="1" thickBot="1">
      <c r="A48" s="1524" t="s">
        <v>40</v>
      </c>
      <c r="B48" s="1528" t="e">
        <f>+B31</f>
        <v>#REF!</v>
      </c>
      <c r="C48" s="1529" t="e">
        <f t="shared" ref="C48:N48" si="25">+C31</f>
        <v>#REF!</v>
      </c>
      <c r="D48" s="1529" t="e">
        <f t="shared" si="25"/>
        <v>#REF!</v>
      </c>
      <c r="E48" s="1529" t="e">
        <f t="shared" si="25"/>
        <v>#REF!</v>
      </c>
      <c r="F48" s="1528" t="e">
        <f t="shared" si="25"/>
        <v>#REF!</v>
      </c>
      <c r="G48" s="1528" t="e">
        <f t="shared" si="25"/>
        <v>#REF!</v>
      </c>
      <c r="H48" s="1528" t="e">
        <f t="shared" si="25"/>
        <v>#REF!</v>
      </c>
      <c r="I48" s="1528" t="e">
        <f>+I31</f>
        <v>#REF!</v>
      </c>
      <c r="J48" s="1528">
        <f>+J31</f>
        <v>782668914</v>
      </c>
      <c r="K48" s="1600">
        <f t="shared" si="25"/>
        <v>269652953</v>
      </c>
      <c r="L48" s="1528">
        <f t="shared" si="25"/>
        <v>223555012</v>
      </c>
      <c r="M48" s="1528">
        <f t="shared" si="25"/>
        <v>175553370</v>
      </c>
      <c r="N48" s="1528">
        <f t="shared" si="25"/>
        <v>228655478</v>
      </c>
      <c r="O48" s="1528">
        <f>+O31</f>
        <v>168318958</v>
      </c>
      <c r="P48" s="1528">
        <f t="shared" ref="P48:Q48" si="26">+P31</f>
        <v>67493975</v>
      </c>
      <c r="Q48" s="1528">
        <f t="shared" si="26"/>
        <v>45534748</v>
      </c>
      <c r="R48" s="1528">
        <f t="shared" ref="R48:T48" si="27">+R31</f>
        <v>30574519</v>
      </c>
      <c r="S48" s="1528">
        <f t="shared" si="27"/>
        <v>30240549</v>
      </c>
      <c r="T48" s="1528">
        <f t="shared" si="27"/>
        <v>30342746</v>
      </c>
      <c r="U48" s="1548">
        <f>+U31</f>
        <v>1782938269</v>
      </c>
      <c r="V48" s="1530" t="s">
        <v>35</v>
      </c>
      <c r="W48" s="44">
        <v>105067692</v>
      </c>
      <c r="X48" s="45" t="s">
        <v>478</v>
      </c>
    </row>
    <row r="49" spans="1:25" s="39" customFormat="1" ht="18.75" hidden="1" customHeight="1">
      <c r="A49" s="80"/>
      <c r="B49" s="37"/>
      <c r="C49" s="37"/>
      <c r="D49" s="37"/>
      <c r="E49" s="37"/>
      <c r="F49" s="37"/>
      <c r="G49" s="37"/>
      <c r="H49" s="37"/>
      <c r="I49" s="37"/>
      <c r="J49" s="37">
        <f>'Tab. 6A -Drogi'!M17+'Tab. 6E - Administracja'!M17+'Tab. 6G - Roln i ochrona środ.'!M17</f>
        <v>31089366</v>
      </c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8"/>
      <c r="V49" s="53"/>
      <c r="W49" s="53">
        <f>W48+W47</f>
        <v>2021510230.3</v>
      </c>
      <c r="X49" s="53">
        <f>U47-W49</f>
        <v>-105067692</v>
      </c>
    </row>
    <row r="50" spans="1:25" s="39" customFormat="1" hidden="1">
      <c r="A50" s="37"/>
      <c r="B50" s="37"/>
      <c r="C50" s="37"/>
      <c r="D50" s="37"/>
      <c r="E50" s="37"/>
      <c r="F50" s="37"/>
      <c r="G50" s="37"/>
      <c r="H50" s="37"/>
      <c r="I50" s="37"/>
      <c r="J50" s="37">
        <f>'Tab. 6A -Drogi'!M33+'Tab. 6B Polit społ i rozwój prz'!M21+'Tab. 6E - Administracja'!M26+'Tab. 6H - Kultura fiz. i turyst'!M19+'Tab.6I - Planow. przestrz.'!M19+'Tab. 6G - Roln i ochrona środ.'!M31</f>
        <v>570069727</v>
      </c>
      <c r="K50" s="37">
        <f>'Tab. 6A -Drogi'!N33+'Tab. 6B Polit społ i rozwój prz'!N21+'Tab. 6E - Administracja'!N26+'Tab. 6H - Kultura fiz. i turyst'!N19+'Tab.6I - Planow. przestrz.'!N19+'Tab. 6G - Roln i ochrona środ.'!N31</f>
        <v>227755348</v>
      </c>
      <c r="L50" s="37">
        <f>'Tab. 6A -Drogi'!O33+'Tab. 6B Polit społ i rozwój prz'!O21+'Tab. 6E - Administracja'!O26+'Tab. 6H - Kultura fiz. i turyst'!O19+'Tab.6I - Planow. przestrz.'!O19+'Tab. 6G - Roln i ochrona środ.'!O31</f>
        <v>201021140</v>
      </c>
      <c r="M50" s="37">
        <f>'Tab. 6A -Drogi'!P33+'Tab. 6B Polit społ i rozwój prz'!P21+'Tab. 6E - Administracja'!P26+'Tab. 6H - Kultura fiz. i turyst'!P19+'Tab.6I - Planow. przestrz.'!P19+'Tab. 6G - Roln i ochrona środ.'!P31</f>
        <v>152020236</v>
      </c>
      <c r="N50" s="37">
        <f>'Tab. 6A -Drogi'!Q33+'Tab. 6B Polit społ i rozwój prz'!Q21+'Tab. 6E - Administracja'!Q26+'Tab. 6H - Kultura fiz. i turyst'!Q19+'Tab.6I - Planow. przestrz.'!Q19+'Tab. 6G - Roln i ochrona środ.'!Q31</f>
        <v>212121006</v>
      </c>
      <c r="O50" s="37">
        <f>'Tab. 6A -Drogi'!R33+'Tab. 6B Polit społ i rozwój prz'!R21+'Tab. 6E - Administracja'!R26+'Tab. 6H - Kultura fiz. i turyst'!R19+'Tab.6I - Planow. przestrz.'!R19+'Tab. 6G - Roln i ochrona środ.'!R31</f>
        <v>152788746</v>
      </c>
      <c r="P50" s="37">
        <f>'Tab. 6A -Drogi'!S33+'Tab. 6B Polit społ i rozwój prz'!S21+'Tab. 6E - Administracja'!S26+'Tab. 6H - Kultura fiz. i turyst'!S19+'Tab.6I - Planow. przestrz.'!S19+'Tab. 6G - Roln i ochrona środ.'!S31</f>
        <v>62801750</v>
      </c>
      <c r="Q50" s="37">
        <f>'Tab. 6A -Drogi'!T33+'Tab. 6B Polit społ i rozwój prz'!T21+'Tab. 6E - Administracja'!T26+'Tab. 6H - Kultura fiz. i turyst'!T19+'Tab.6I - Planow. przestrz.'!T19+'Tab. 6G - Roln i ochrona środ.'!T31</f>
        <v>43930248</v>
      </c>
      <c r="R50" s="37">
        <f>'Tab. 6A -Drogi'!U33+'Tab. 6B Polit społ i rozwój prz'!U21+'Tab. 6E - Administracja'!U26+'Tab. 6H - Kultura fiz. i turyst'!U19+'Tab.6I - Planow. przestrz.'!U19+'Tab. 6G - Roln i ochrona środ.'!U31</f>
        <v>30574519</v>
      </c>
      <c r="S50" s="37">
        <f>'Tab. 6A -Drogi'!V33+'Tab. 6B Polit społ i rozwój prz'!V21+'Tab. 6E - Administracja'!V26+'Tab. 6H - Kultura fiz. i turyst'!V19+'Tab.6I - Planow. przestrz.'!V19+'Tab. 6G - Roln i ochrona środ.'!V31</f>
        <v>30240549</v>
      </c>
      <c r="T50" s="37">
        <f>'Tab. 6A -Drogi'!W33+'Tab. 6B Polit społ i rozwój prz'!W21+'Tab. 6E - Administracja'!W26+'Tab. 6H - Kultura fiz. i turyst'!W19+'Tab.6I - Planow. przestrz.'!W19+'Tab. 6G - Roln i ochrona środ.'!W31</f>
        <v>30342746</v>
      </c>
      <c r="U50" s="37">
        <f>J50+L50+M50+N50+O50+P50+Q50+R50+S50+T50</f>
        <v>1485910667</v>
      </c>
      <c r="V50" s="31"/>
      <c r="W50" s="31"/>
    </row>
    <row r="51" spans="1:25" s="39" customFormat="1" hidden="1">
      <c r="A51" s="82"/>
      <c r="B51" s="37"/>
      <c r="C51" s="37"/>
      <c r="D51" s="37"/>
      <c r="E51" s="37"/>
      <c r="F51" s="37"/>
      <c r="G51" s="37"/>
      <c r="H51" s="37"/>
      <c r="I51" s="37"/>
      <c r="J51" s="37">
        <f>J45-J50</f>
        <v>0</v>
      </c>
      <c r="K51" s="37">
        <f t="shared" ref="K51:L51" si="28">K45-K50</f>
        <v>0</v>
      </c>
      <c r="L51" s="37">
        <f t="shared" si="28"/>
        <v>0</v>
      </c>
      <c r="M51" s="37">
        <f>M45-M50</f>
        <v>0</v>
      </c>
      <c r="N51" s="37">
        <f>N45-N50</f>
        <v>0</v>
      </c>
      <c r="O51" s="37">
        <f>O45-O50</f>
        <v>0</v>
      </c>
      <c r="P51" s="37">
        <f>P45-P50</f>
        <v>0</v>
      </c>
      <c r="Q51" s="37">
        <f t="shared" ref="Q51:T51" si="29">Q45-Q50</f>
        <v>0</v>
      </c>
      <c r="R51" s="37">
        <f t="shared" si="29"/>
        <v>0</v>
      </c>
      <c r="S51" s="37">
        <f t="shared" si="29"/>
        <v>0</v>
      </c>
      <c r="T51" s="37">
        <f t="shared" si="29"/>
        <v>0</v>
      </c>
      <c r="U51" s="38"/>
      <c r="V51" s="31"/>
      <c r="W51" s="31"/>
    </row>
    <row r="52" spans="1:25" s="39" customFormat="1">
      <c r="A52" s="80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8"/>
      <c r="V52" s="31"/>
      <c r="W52" s="31"/>
    </row>
    <row r="53" spans="1:25" ht="31.5" customHeight="1" thickBot="1">
      <c r="A53" s="3991" t="s">
        <v>41</v>
      </c>
      <c r="B53" s="3991"/>
      <c r="C53" s="3991"/>
      <c r="D53" s="3991"/>
      <c r="E53" s="3991"/>
      <c r="F53" s="3991"/>
      <c r="G53" s="3991"/>
      <c r="H53" s="3991"/>
      <c r="I53" s="3991"/>
      <c r="J53" s="3991"/>
      <c r="K53" s="3991"/>
      <c r="L53" s="3991"/>
      <c r="M53" s="3991"/>
      <c r="N53" s="3991"/>
      <c r="O53" s="3991"/>
      <c r="P53" s="3991"/>
      <c r="Q53" s="3991"/>
      <c r="R53" s="3991"/>
      <c r="S53" s="3991"/>
      <c r="T53" s="3991"/>
      <c r="U53" s="3991"/>
      <c r="V53" s="1499"/>
    </row>
    <row r="54" spans="1:25" s="2" customFormat="1" ht="34.5" customHeight="1">
      <c r="A54" s="1186"/>
      <c r="B54" s="1686"/>
      <c r="C54" s="1687"/>
      <c r="D54" s="1687"/>
      <c r="E54" s="1687"/>
      <c r="F54" s="1687"/>
      <c r="G54" s="1687"/>
      <c r="H54" s="1687"/>
      <c r="I54" s="1687"/>
      <c r="J54" s="3995" t="s">
        <v>522</v>
      </c>
      <c r="K54" s="1687"/>
      <c r="L54" s="3978" t="s">
        <v>539</v>
      </c>
      <c r="M54" s="3980" t="s">
        <v>538</v>
      </c>
      <c r="N54" s="3978"/>
      <c r="O54" s="3978"/>
      <c r="P54" s="3978"/>
      <c r="Q54" s="3978"/>
      <c r="R54" s="3978"/>
      <c r="S54" s="3978"/>
      <c r="T54" s="3981"/>
      <c r="U54" s="3992" t="s">
        <v>4</v>
      </c>
      <c r="V54" s="3984" t="s">
        <v>506</v>
      </c>
    </row>
    <row r="55" spans="1:25" ht="19.5" customHeight="1">
      <c r="A55" s="10" t="s">
        <v>5</v>
      </c>
      <c r="B55" s="1688"/>
      <c r="C55" s="1689"/>
      <c r="D55" s="1689"/>
      <c r="E55" s="1689"/>
      <c r="F55" s="1689"/>
      <c r="G55" s="1689"/>
      <c r="H55" s="1689"/>
      <c r="I55" s="1689"/>
      <c r="J55" s="3996"/>
      <c r="K55" s="1689"/>
      <c r="L55" s="3979"/>
      <c r="M55" s="3982"/>
      <c r="N55" s="3979"/>
      <c r="O55" s="3979"/>
      <c r="P55" s="3979"/>
      <c r="Q55" s="3979"/>
      <c r="R55" s="3979"/>
      <c r="S55" s="3979"/>
      <c r="T55" s="3983"/>
      <c r="U55" s="3993"/>
      <c r="V55" s="3985"/>
    </row>
    <row r="56" spans="1:25" ht="24" customHeight="1" thickBot="1">
      <c r="A56" s="10"/>
      <c r="B56" s="1138" t="s">
        <v>6</v>
      </c>
      <c r="C56" s="1142" t="s">
        <v>7</v>
      </c>
      <c r="D56" s="1142" t="s">
        <v>8</v>
      </c>
      <c r="E56" s="1142" t="s">
        <v>9</v>
      </c>
      <c r="F56" s="1139" t="s">
        <v>10</v>
      </c>
      <c r="G56" s="1139" t="s">
        <v>11</v>
      </c>
      <c r="H56" s="1139" t="s">
        <v>12</v>
      </c>
      <c r="I56" s="1139" t="s">
        <v>13</v>
      </c>
      <c r="J56" s="1136" t="s">
        <v>489</v>
      </c>
      <c r="K56" s="1582" t="s">
        <v>14</v>
      </c>
      <c r="L56" s="12" t="s">
        <v>15</v>
      </c>
      <c r="M56" s="12" t="s">
        <v>16</v>
      </c>
      <c r="N56" s="13" t="s">
        <v>17</v>
      </c>
      <c r="O56" s="13" t="s">
        <v>18</v>
      </c>
      <c r="P56" s="13" t="s">
        <v>376</v>
      </c>
      <c r="Q56" s="13" t="s">
        <v>381</v>
      </c>
      <c r="R56" s="13" t="s">
        <v>491</v>
      </c>
      <c r="S56" s="13" t="s">
        <v>492</v>
      </c>
      <c r="T56" s="1549" t="s">
        <v>490</v>
      </c>
      <c r="U56" s="3994"/>
      <c r="V56" s="3985"/>
    </row>
    <row r="57" spans="1:25" ht="13.5" customHeight="1" thickBot="1">
      <c r="A57" s="15">
        <v>1</v>
      </c>
      <c r="B57" s="16"/>
      <c r="C57" s="17"/>
      <c r="D57" s="18"/>
      <c r="E57" s="18"/>
      <c r="F57" s="19"/>
      <c r="G57" s="19"/>
      <c r="H57" s="19"/>
      <c r="I57" s="19"/>
      <c r="J57" s="19">
        <v>2</v>
      </c>
      <c r="K57" s="1583" t="s">
        <v>493</v>
      </c>
      <c r="L57" s="19">
        <v>3</v>
      </c>
      <c r="M57" s="19">
        <v>4</v>
      </c>
      <c r="N57" s="20">
        <v>5</v>
      </c>
      <c r="O57" s="19">
        <v>6</v>
      </c>
      <c r="P57" s="1190">
        <v>7</v>
      </c>
      <c r="Q57" s="1181">
        <v>8</v>
      </c>
      <c r="R57" s="1550">
        <v>9</v>
      </c>
      <c r="S57" s="19">
        <v>10</v>
      </c>
      <c r="T57" s="1550">
        <v>11</v>
      </c>
      <c r="U57" s="1531">
        <v>12</v>
      </c>
      <c r="V57" s="21">
        <v>13</v>
      </c>
    </row>
    <row r="58" spans="1:25" ht="18.75" customHeight="1">
      <c r="A58" s="22" t="s">
        <v>19</v>
      </c>
      <c r="B58" s="23">
        <f>+B59+B60</f>
        <v>11141507</v>
      </c>
      <c r="C58" s="23">
        <f t="shared" ref="C58:V58" si="30">+C59+C60</f>
        <v>0</v>
      </c>
      <c r="D58" s="23">
        <f t="shared" si="30"/>
        <v>5327000</v>
      </c>
      <c r="E58" s="23">
        <f t="shared" si="30"/>
        <v>5568560.0600000005</v>
      </c>
      <c r="F58" s="23">
        <f t="shared" si="30"/>
        <v>10946454</v>
      </c>
      <c r="G58" s="23">
        <f t="shared" si="30"/>
        <v>60752143</v>
      </c>
      <c r="H58" s="23">
        <f t="shared" si="30"/>
        <v>63851885</v>
      </c>
      <c r="I58" s="23">
        <f t="shared" si="30"/>
        <v>140681462</v>
      </c>
      <c r="J58" s="23">
        <f t="shared" ref="J58" si="31">+J59+J60</f>
        <v>461400089</v>
      </c>
      <c r="K58" s="1584">
        <f t="shared" si="30"/>
        <v>174039197</v>
      </c>
      <c r="L58" s="23">
        <f>+L59+L60</f>
        <v>183837617</v>
      </c>
      <c r="M58" s="23">
        <f t="shared" si="30"/>
        <v>147067821.63999999</v>
      </c>
      <c r="N58" s="23">
        <f t="shared" si="30"/>
        <v>134835896</v>
      </c>
      <c r="O58" s="23">
        <f t="shared" si="30"/>
        <v>129270431</v>
      </c>
      <c r="P58" s="23">
        <f t="shared" ref="P58:Q58" si="32">+P59+P60</f>
        <v>89151098</v>
      </c>
      <c r="Q58" s="23">
        <f t="shared" si="32"/>
        <v>82634047</v>
      </c>
      <c r="R58" s="23">
        <f t="shared" ref="R58:T58" si="33">+R59+R60</f>
        <v>1999047</v>
      </c>
      <c r="S58" s="23">
        <f t="shared" si="33"/>
        <v>1859047</v>
      </c>
      <c r="T58" s="23">
        <f t="shared" si="33"/>
        <v>919047</v>
      </c>
      <c r="U58" s="83">
        <f t="shared" si="30"/>
        <v>1236538430.6399999</v>
      </c>
      <c r="V58" s="84">
        <f t="shared" si="30"/>
        <v>591300724.63999999</v>
      </c>
      <c r="W58" s="1287"/>
      <c r="X58" s="3102">
        <f>T58+S58+R58+Q58+P58+O58+N58+M58+L58+J58+3564290</f>
        <v>1236538430.6399999</v>
      </c>
      <c r="Y58" s="3103">
        <f>U58-X58</f>
        <v>0</v>
      </c>
    </row>
    <row r="59" spans="1:25" s="26" customFormat="1" ht="15" customHeight="1">
      <c r="A59" s="27" t="s">
        <v>42</v>
      </c>
      <c r="B59" s="28">
        <f>+'Tab. 6D - Oświata'!E67+'Tab. 6F - Kultura'!E9+'Tab. 6A -Drogi'!E431+'Tab. 6C - Ochrona zdrowia'!E11+'Tab. 6E - Administracja'!E245+'Tab. 6G - Roln i ochrona środ.'!E182</f>
        <v>0</v>
      </c>
      <c r="C59" s="28">
        <f>+'Tab. 6D - Oświata'!F67+'Tab. 6F - Kultura'!F9+'Tab. 6A -Drogi'!F431+'Tab. 6C - Ochrona zdrowia'!F11+'Tab. 6E - Administracja'!F245+'Tab. 6G - Roln i ochrona środ.'!F182</f>
        <v>0</v>
      </c>
      <c r="D59" s="28">
        <f>+'Tab. 6D - Oświata'!G67+'Tab. 6F - Kultura'!G9+'Tab. 6A -Drogi'!G431+'Tab. 6C - Ochrona zdrowia'!G11+'Tab. 6E - Administracja'!G245+'Tab. 6G - Roln i ochrona środ.'!G182</f>
        <v>0</v>
      </c>
      <c r="E59" s="28">
        <f>+'Tab. 6D - Oświata'!H67+'Tab. 6F - Kultura'!H9+'Tab. 6A -Drogi'!H431+'Tab. 6C - Ochrona zdrowia'!H11+'Tab. 6E - Administracja'!H245+'Tab. 6G - Roln i ochrona środ.'!H182</f>
        <v>0</v>
      </c>
      <c r="F59" s="28">
        <f>+'Tab. 6D - Oświata'!I67+'Tab. 6F - Kultura'!I9+'Tab. 6A -Drogi'!I431+'Tab. 6C - Ochrona zdrowia'!I11+'Tab. 6E - Administracja'!I245+'Tab. 6G - Roln i ochrona środ.'!I182</f>
        <v>0</v>
      </c>
      <c r="G59" s="28">
        <f>+'Tab. 6D - Oświata'!J67+'Tab. 6F - Kultura'!J9+'Tab. 6A -Drogi'!J431+'Tab. 6C - Ochrona zdrowia'!J11+'Tab. 6E - Administracja'!J245+'Tab. 6G - Roln i ochrona środ.'!J182</f>
        <v>15514140</v>
      </c>
      <c r="H59" s="28">
        <f>'Tab. 6A -Drogi'!K431+'Tab. 6C - Ochrona zdrowia'!K11+'Tab. 6D - Oświata'!K67+'Tab. 6E - Administracja'!K245+'Tab. 6F - Kultura'!K9+'Tab. 6G - Roln i ochrona środ.'!K182+'Tab. 6H - Kultura fiz. i turyst'!K121</f>
        <v>17283982</v>
      </c>
      <c r="I59" s="28">
        <f>'Tab. 6A -Drogi'!L431+'Tab. 6C - Ochrona zdrowia'!L11+'Tab. 6D - Oświata'!L67+'Tab. 6E - Administracja'!L245+'Tab. 6F - Kultura'!L9+'Tab. 6G - Roln i ochrona środ.'!L182+'Tab. 6H - Kultura fiz. i turyst'!L121</f>
        <v>102758571</v>
      </c>
      <c r="J59" s="28">
        <f>'Tab. 6A -Drogi'!M431+'Tab. 6C - Ochrona zdrowia'!M11+'Tab. 6D - Oświata'!M67+'Tab. 6E - Administracja'!M245+'Tab. 6F - Kultura'!M9+'Tab. 6G - Roln i ochrona środ.'!M182+'Tab. 6H - Kultura fiz. i turyst'!M121+'Tab.6I - Planow. przestrz.'!M49</f>
        <v>232761361</v>
      </c>
      <c r="K59" s="1585">
        <f>'Tab. 6A -Drogi'!N431+'Tab. 6C - Ochrona zdrowia'!N11+'Tab. 6D - Oświata'!N67+'Tab. 6E - Administracja'!N245+'Tab. 6F - Kultura'!N9+'Tab. 6G - Roln i ochrona środ.'!N182+'Tab. 6H - Kultura fiz. i turyst'!N121</f>
        <v>97217227</v>
      </c>
      <c r="L59" s="28">
        <f>'Tab. 6A -Drogi'!O431+'Tab. 6C - Ochrona zdrowia'!O11+'Tab. 6D - Oświata'!O67+'Tab. 6E - Administracja'!O245+'Tab. 6F - Kultura'!O9+'Tab. 6G - Roln i ochrona środ.'!O182+'Tab. 6H - Kultura fiz. i turyst'!O121+'Tab.6I - Planow. przestrz.'!O49</f>
        <v>103964150</v>
      </c>
      <c r="M59" s="28">
        <f>'Tab. 6A -Drogi'!P431+'Tab. 6C - Ochrona zdrowia'!P11+'Tab. 6D - Oświata'!P67+'Tab. 6E - Administracja'!P245+'Tab. 6F - Kultura'!P9+'Tab. 6G - Roln i ochrona środ.'!P182+'Tab. 6H - Kultura fiz. i turyst'!P121+'Tab.6I - Planow. przestrz.'!P49</f>
        <v>125311286.64</v>
      </c>
      <c r="N59" s="28">
        <f>'Tab. 6A -Drogi'!Q431+'Tab. 6C - Ochrona zdrowia'!Q11+'Tab. 6D - Oświata'!Q67+'Tab. 6E - Administracja'!Q245+'Tab. 6F - Kultura'!Q9+'Tab. 6G - Roln i ochrona środ.'!Q182+'Tab. 6H - Kultura fiz. i turyst'!Q121+'Tab.6I - Planow. przestrz.'!Q49</f>
        <v>128945896</v>
      </c>
      <c r="O59" s="28">
        <f>'Tab. 6A -Drogi'!R431+'Tab. 6C - Ochrona zdrowia'!R11+'Tab. 6D - Oświata'!R67+'Tab. 6E - Administracja'!R245+'Tab. 6F - Kultura'!R9+'Tab. 6G - Roln i ochrona środ.'!R182+'Tab.6I - Planow. przestrz.'!R49</f>
        <v>122980271</v>
      </c>
      <c r="P59" s="28">
        <f>'Tab. 6A -Drogi'!S431+'Tab. 6C - Ochrona zdrowia'!S11+'Tab. 6D - Oświata'!S67+'Tab. 6E - Administracja'!S245+'Tab. 6F - Kultura'!S9+'Tab. 6G - Roln i ochrona środ.'!S182+'Tab.6I - Planow. przestrz.'!S49</f>
        <v>86451098</v>
      </c>
      <c r="Q59" s="28">
        <f>'Tab. 6A -Drogi'!T431+'Tab. 6C - Ochrona zdrowia'!T11+'Tab. 6D - Oświata'!T67+'Tab. 6E - Administracja'!T245+'Tab. 6F - Kultura'!T9+'Tab. 6G - Roln i ochrona środ.'!T182+'Tab.6I - Planow. przestrz.'!T49</f>
        <v>81134047</v>
      </c>
      <c r="R59" s="28">
        <f>'Tab. 6A -Drogi'!U431+'Tab. 6C - Ochrona zdrowia'!U11+'Tab. 6D - Oświata'!U67+'Tab. 6E - Administracja'!U245+'Tab. 6F - Kultura'!U9+'Tab. 6G - Roln i ochrona środ.'!U182+'Tab.6I - Planow. przestrz.'!U49</f>
        <v>1999047</v>
      </c>
      <c r="S59" s="28">
        <f>'Tab. 6A -Drogi'!V431+'Tab. 6C - Ochrona zdrowia'!V11+'Tab. 6D - Oświata'!V67+'Tab. 6E - Administracja'!V245+'Tab. 6F - Kultura'!V9+'Tab. 6G - Roln i ochrona środ.'!V182+'Tab.6I - Planow. przestrz.'!V49</f>
        <v>1859047</v>
      </c>
      <c r="T59" s="28">
        <f>'Tab. 6A -Drogi'!W431+'Tab. 6C - Ochrona zdrowia'!W11+'Tab. 6D - Oświata'!W67+'Tab. 6E - Administracja'!W245+'Tab. 6F - Kultura'!W9+'Tab. 6G - Roln i ochrona środ.'!W182+'Tab.6I - Planow. przestrz.'!W49</f>
        <v>919047</v>
      </c>
      <c r="U59" s="1288">
        <f>'Tab. 6A -Drogi'!D431+'Tab. 6C - Ochrona zdrowia'!D11+'Tab. 6D - Oświata'!D67+'Tab. 6E - Administracja'!D245+'Tab. 6F - Kultura'!D9+'Tab. 6G - Roln i ochrona środ.'!D182+'Tab. 6H - Kultura fiz. i turyst'!D121+'Tab.6I - Planow. przestrz.'!D49</f>
        <v>889889540.63999999</v>
      </c>
      <c r="V59" s="30">
        <f>SUM(M59:T59)+2514288+1050002</f>
        <v>553164029.63999999</v>
      </c>
      <c r="W59" s="336"/>
      <c r="X59" s="3102">
        <f>T59+S59+R59+Q59+P59+O59+N59+M59+L59+J59+3564290</f>
        <v>889889540.63999999</v>
      </c>
      <c r="Y59" s="3103">
        <f t="shared" ref="Y59:Y73" si="34">U59-X59</f>
        <v>0</v>
      </c>
    </row>
    <row r="60" spans="1:25" ht="14.25" customHeight="1" thickBot="1">
      <c r="A60" s="85" t="s">
        <v>43</v>
      </c>
      <c r="B60" s="86">
        <f>+'Tab. 6D - Oświata'!E68+'Tab. 6F - Kultura'!E10+'Tab. 6A -Drogi'!E432+'Tab. 6C - Ochrona zdrowia'!E12+'Tab. 6E - Administracja'!E246+'Tab. 6G - Roln i ochrona środ.'!E183</f>
        <v>11141507</v>
      </c>
      <c r="C60" s="86">
        <f>+'Tab. 6D - Oświata'!F68+'Tab. 6F - Kultura'!F10+'Tab. 6A -Drogi'!F432+'Tab. 6C - Ochrona zdrowia'!F12+'Tab. 6E - Administracja'!F246+'Tab. 6G - Roln i ochrona środ.'!F183</f>
        <v>0</v>
      </c>
      <c r="D60" s="86">
        <f>+'Tab. 6D - Oświata'!G68+'Tab. 6F - Kultura'!G10+'Tab. 6A -Drogi'!G432+'Tab. 6C - Ochrona zdrowia'!G12+'Tab. 6E - Administracja'!G246+'Tab. 6G - Roln i ochrona środ.'!G183</f>
        <v>5327000</v>
      </c>
      <c r="E60" s="86">
        <f>+'Tab. 6D - Oświata'!H68+'Tab. 6F - Kultura'!H10+'Tab. 6A -Drogi'!H432+'Tab. 6C - Ochrona zdrowia'!H12+'Tab. 6E - Administracja'!H246+'Tab. 6G - Roln i ochrona środ.'!H183</f>
        <v>5568560.0600000005</v>
      </c>
      <c r="F60" s="86">
        <f>+'Tab. 6D - Oświata'!I68+'Tab. 6F - Kultura'!I10+'Tab. 6A -Drogi'!I432+'Tab. 6C - Ochrona zdrowia'!I12+'Tab. 6E - Administracja'!I246+'Tab. 6G - Roln i ochrona środ.'!I183</f>
        <v>10946454</v>
      </c>
      <c r="G60" s="86">
        <f>+'Tab. 6D - Oświata'!J68+'Tab. 6F - Kultura'!J10+'Tab. 6A -Drogi'!J432+'Tab. 6C - Ochrona zdrowia'!J12+'Tab. 6E - Administracja'!J246+'Tab. 6G - Roln i ochrona środ.'!J183</f>
        <v>45238003</v>
      </c>
      <c r="H60" s="86">
        <f>+'Tab. 6D - Oświata'!K68+'Tab. 6F - Kultura'!K10+'Tab. 6A -Drogi'!K432+'Tab. 6C - Ochrona zdrowia'!K12+'Tab. 6E - Administracja'!K246+'Tab. 6G - Roln i ochrona środ.'!K183</f>
        <v>46567903</v>
      </c>
      <c r="I60" s="87">
        <f>'Tab. 6A -Drogi'!L432+'Tab. 6C - Ochrona zdrowia'!L12+'Tab. 6D - Oświata'!L68+'Tab. 6E - Administracja'!L246+'Tab. 6F - Kultura'!L10+'Tab. 6G - Roln i ochrona środ.'!L183</f>
        <v>37922891</v>
      </c>
      <c r="J60" s="87">
        <f>'Tab. 6A -Drogi'!M432+'Tab. 6C - Ochrona zdrowia'!M12+'Tab. 6D - Oświata'!M68+'Tab. 6E - Administracja'!M246+'Tab. 6F - Kultura'!M10+'Tab. 6G - Roln i ochrona środ.'!M183</f>
        <v>228638728</v>
      </c>
      <c r="K60" s="1601">
        <f>'Tab. 6A -Drogi'!N432+'Tab. 6C - Ochrona zdrowia'!N12+'Tab. 6D - Oświata'!N68+'Tab. 6E - Administracja'!N246+'Tab. 6F - Kultura'!N10+'Tab. 6G - Roln i ochrona środ.'!N183</f>
        <v>76821970</v>
      </c>
      <c r="L60" s="87">
        <f>'Tab. 6A -Drogi'!O432+'Tab. 6C - Ochrona zdrowia'!O12+'Tab. 6D - Oświata'!O68+'Tab. 6E - Administracja'!O246+'Tab. 6F - Kultura'!O10+'Tab. 6G - Roln i ochrona środ.'!O183</f>
        <v>79873467</v>
      </c>
      <c r="M60" s="87">
        <f>'Tab. 6A -Drogi'!P432+'Tab. 6C - Ochrona zdrowia'!P12+'Tab. 6D - Oświata'!P68+'Tab. 6E - Administracja'!P246+'Tab. 6F - Kultura'!P10+'Tab. 6G - Roln i ochrona środ.'!P183</f>
        <v>21756535</v>
      </c>
      <c r="N60" s="87">
        <f>'Tab. 6A -Drogi'!Q432+'Tab. 6C - Ochrona zdrowia'!Q12+'Tab. 6D - Oświata'!Q68+'Tab. 6E - Administracja'!Q246+'Tab. 6F - Kultura'!Q10+'Tab. 6G - Roln i ochrona środ.'!Q183</f>
        <v>5890000</v>
      </c>
      <c r="O60" s="87">
        <f>'Tab. 6A -Drogi'!R432+'Tab. 6C - Ochrona zdrowia'!R12+'Tab. 6D - Oświata'!R68+'Tab. 6E - Administracja'!R246+'Tab. 6F - Kultura'!R10+'Tab. 6G - Roln i ochrona środ.'!R183</f>
        <v>6290160</v>
      </c>
      <c r="P60" s="87">
        <f>'Tab. 6A -Drogi'!S432+'Tab. 6C - Ochrona zdrowia'!S12+'Tab. 6D - Oświata'!S68+'Tab. 6E - Administracja'!S246+'Tab. 6F - Kultura'!S10+'Tab. 6G - Roln i ochrona środ.'!S183</f>
        <v>2700000</v>
      </c>
      <c r="Q60" s="87">
        <f>'Tab. 6A -Drogi'!T432+'Tab. 6C - Ochrona zdrowia'!T12+'Tab. 6D - Oświata'!T68+'Tab. 6E - Administracja'!T246+'Tab. 6F - Kultura'!T10+'Tab. 6G - Roln i ochrona środ.'!T183</f>
        <v>1500000</v>
      </c>
      <c r="R60" s="87">
        <f>'Tab. 6A -Drogi'!U432+'Tab. 6C - Ochrona zdrowia'!U12+'Tab. 6D - Oświata'!U68+'Tab. 6E - Administracja'!U246+'Tab. 6F - Kultura'!U10+'Tab. 6G - Roln i ochrona środ.'!U183</f>
        <v>0</v>
      </c>
      <c r="S60" s="87">
        <f>'Tab. 6A -Drogi'!V432+'Tab. 6C - Ochrona zdrowia'!V12+'Tab. 6D - Oświata'!V68+'Tab. 6E - Administracja'!V246+'Tab. 6F - Kultura'!V10+'Tab. 6G - Roln i ochrona środ.'!V183</f>
        <v>0</v>
      </c>
      <c r="T60" s="87">
        <f>'Tab. 6A -Drogi'!W432+'Tab. 6C - Ochrona zdrowia'!W12+'Tab. 6D - Oświata'!W68+'Tab. 6E - Administracja'!W246+'Tab. 6F - Kultura'!W10+'Tab. 6G - Roln i ochrona środ.'!W183</f>
        <v>0</v>
      </c>
      <c r="U60" s="88">
        <f>'Tab. 6A -Drogi'!D432+'Tab. 6C - Ochrona zdrowia'!D12+'Tab. 6D - Oświata'!D68+'Tab. 6E - Administracja'!D246+'Tab. 6F - Kultura'!D10+'Tab. 6G - Roln i ochrona środ.'!D183</f>
        <v>346648890</v>
      </c>
      <c r="V60" s="35">
        <f>SUM(M60:T60)</f>
        <v>38136695</v>
      </c>
      <c r="W60" s="336"/>
      <c r="X60" s="3102">
        <f t="shared" ref="X60:X73" si="35">T60+S60+R60+Q60+P60+O60+N60+M60+L60+J60</f>
        <v>346648890</v>
      </c>
      <c r="Y60" s="3103">
        <f t="shared" si="34"/>
        <v>0</v>
      </c>
    </row>
    <row r="61" spans="1:25" s="39" customFormat="1" ht="4.5" customHeight="1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1587"/>
      <c r="L61" s="37"/>
      <c r="M61" s="37"/>
      <c r="N61" s="37"/>
      <c r="O61" s="89"/>
      <c r="P61" s="37"/>
      <c r="Q61" s="37"/>
      <c r="R61" s="37"/>
      <c r="S61" s="37"/>
      <c r="T61" s="37"/>
      <c r="U61" s="38"/>
      <c r="V61" s="1540"/>
      <c r="W61" s="31"/>
      <c r="X61" s="3102"/>
      <c r="Y61" s="3103"/>
    </row>
    <row r="62" spans="1:25" s="69" customFormat="1" ht="18" customHeight="1">
      <c r="A62" s="40" t="s">
        <v>22</v>
      </c>
      <c r="B62" s="41">
        <f t="shared" ref="B62:U62" si="36">+B63+B72</f>
        <v>12211596</v>
      </c>
      <c r="C62" s="41">
        <f t="shared" si="36"/>
        <v>0</v>
      </c>
      <c r="D62" s="42">
        <f t="shared" si="36"/>
        <v>5402454</v>
      </c>
      <c r="E62" s="42">
        <f t="shared" si="36"/>
        <v>8279439.0600000005</v>
      </c>
      <c r="F62" s="42">
        <f t="shared" si="36"/>
        <v>27844705</v>
      </c>
      <c r="G62" s="42">
        <f>+G63+G72</f>
        <v>72547459</v>
      </c>
      <c r="H62" s="42">
        <f>+H63+H72</f>
        <v>74913235</v>
      </c>
      <c r="I62" s="42">
        <f t="shared" si="36"/>
        <v>172324356</v>
      </c>
      <c r="J62" s="42">
        <f t="shared" ref="J62" si="37">+J63+J72</f>
        <v>566600650</v>
      </c>
      <c r="K62" s="1588">
        <f t="shared" si="36"/>
        <v>206694301</v>
      </c>
      <c r="L62" s="42">
        <f t="shared" si="36"/>
        <v>282263163</v>
      </c>
      <c r="M62" s="42">
        <f t="shared" si="36"/>
        <v>169138092.63999999</v>
      </c>
      <c r="N62" s="42">
        <f t="shared" si="36"/>
        <v>134835896</v>
      </c>
      <c r="O62" s="42">
        <f t="shared" si="36"/>
        <v>129270431</v>
      </c>
      <c r="P62" s="42">
        <f t="shared" ref="P62:Q62" si="38">+P63+P72</f>
        <v>89151098</v>
      </c>
      <c r="Q62" s="42">
        <f t="shared" si="38"/>
        <v>82634047</v>
      </c>
      <c r="R62" s="42">
        <f t="shared" ref="R62:T62" si="39">+R63+R72</f>
        <v>1999047</v>
      </c>
      <c r="S62" s="42">
        <f t="shared" si="39"/>
        <v>1859047</v>
      </c>
      <c r="T62" s="42">
        <f t="shared" si="39"/>
        <v>919047</v>
      </c>
      <c r="U62" s="90">
        <f t="shared" si="36"/>
        <v>1462234808.6399999</v>
      </c>
      <c r="V62" s="91">
        <f>+V63+V72</f>
        <v>591300724.63999999</v>
      </c>
      <c r="W62" s="44"/>
      <c r="X62" s="3102">
        <f>T62+S62+R62+Q62+P62+O62+N62+M62+L62+J62+3564290</f>
        <v>1462234808.6399999</v>
      </c>
      <c r="Y62" s="3103">
        <f t="shared" si="34"/>
        <v>0</v>
      </c>
    </row>
    <row r="63" spans="1:25" s="50" customFormat="1" ht="18" customHeight="1">
      <c r="A63" s="47" t="s">
        <v>23</v>
      </c>
      <c r="B63" s="92">
        <f>SUM(B64:B71)</f>
        <v>12211596</v>
      </c>
      <c r="C63" s="48">
        <f t="shared" ref="C63:K63" si="40">SUM(C64:C71)</f>
        <v>0</v>
      </c>
      <c r="D63" s="93">
        <f t="shared" si="40"/>
        <v>5402454</v>
      </c>
      <c r="E63" s="93">
        <f t="shared" si="40"/>
        <v>8279439.0600000005</v>
      </c>
      <c r="F63" s="94">
        <f t="shared" si="40"/>
        <v>12265950</v>
      </c>
      <c r="G63" s="94">
        <f>SUM(G64:G71)</f>
        <v>64317012</v>
      </c>
      <c r="H63" s="94">
        <f>SUM(H64:H71)</f>
        <v>68953089</v>
      </c>
      <c r="I63" s="94">
        <f t="shared" si="40"/>
        <v>166185226</v>
      </c>
      <c r="J63" s="94">
        <f t="shared" si="40"/>
        <v>502903461</v>
      </c>
      <c r="K63" s="1602">
        <f t="shared" si="40"/>
        <v>178905590</v>
      </c>
      <c r="L63" s="94">
        <f t="shared" ref="L63:U63" si="41">SUM(L64:L71)</f>
        <v>197346618</v>
      </c>
      <c r="M63" s="94">
        <f t="shared" si="41"/>
        <v>166948405.63999999</v>
      </c>
      <c r="N63" s="94">
        <f t="shared" si="41"/>
        <v>134835896</v>
      </c>
      <c r="O63" s="94">
        <f t="shared" si="41"/>
        <v>129270431</v>
      </c>
      <c r="P63" s="94">
        <f t="shared" si="41"/>
        <v>89151098</v>
      </c>
      <c r="Q63" s="94">
        <f t="shared" si="41"/>
        <v>82634047</v>
      </c>
      <c r="R63" s="94">
        <f t="shared" ref="R63:T63" si="42">SUM(R64:R71)</f>
        <v>1999047</v>
      </c>
      <c r="S63" s="94">
        <f t="shared" si="42"/>
        <v>1859047</v>
      </c>
      <c r="T63" s="94">
        <f t="shared" si="42"/>
        <v>919047</v>
      </c>
      <c r="U63" s="95">
        <f t="shared" si="41"/>
        <v>1311431387.6399999</v>
      </c>
      <c r="V63" s="96">
        <f>SUM(V64:V71)</f>
        <v>591300724.63999999</v>
      </c>
      <c r="W63" s="31"/>
      <c r="X63" s="3102">
        <f>T63+S63+R63+Q63+P63+O63+N63+M63+L63+J63+3564290</f>
        <v>1311431387.6399999</v>
      </c>
      <c r="Y63" s="3103">
        <f t="shared" si="34"/>
        <v>0</v>
      </c>
    </row>
    <row r="64" spans="1:25" s="39" customFormat="1" ht="16.5" customHeight="1">
      <c r="A64" s="51" t="s">
        <v>44</v>
      </c>
      <c r="B64" s="97">
        <f>+'Tab. 6D - Oświata'!E73+'Tab. 6A -Drogi'!E435+'Tab. 6E - Administracja'!E249+'Tab. 6C - Ochrona zdrowia'!E15</f>
        <v>7239894</v>
      </c>
      <c r="C64" s="97">
        <f>+'Tab. 6D - Oświata'!F73+'Tab. 6A -Drogi'!F435+'Tab. 6E - Administracja'!F249+'Tab. 6C - Ochrona zdrowia'!F15</f>
        <v>0</v>
      </c>
      <c r="D64" s="97">
        <f>+'Tab. 6D - Oświata'!G73+'Tab. 6A -Drogi'!G435+'Tab. 6E - Administracja'!G249+'Tab. 6C - Ochrona zdrowia'!G15</f>
        <v>5300000</v>
      </c>
      <c r="E64" s="97">
        <f>+'Tab. 6D - Oświata'!H73+'Tab. 6A -Drogi'!H435+'Tab. 6E - Administracja'!H249+'Tab. 6C - Ochrona zdrowia'!H15</f>
        <v>1939894</v>
      </c>
      <c r="F64" s="97">
        <f>+'Tab. 6D - Oświata'!I73+'Tab. 6A -Drogi'!I435+'Tab. 6E - Administracja'!I249+'Tab. 6C - Ochrona zdrowia'!I15</f>
        <v>1631974</v>
      </c>
      <c r="G64" s="97">
        <f>+'Tab. 6D - Oświata'!J73+'Tab. 6A -Drogi'!J435+'Tab. 6E - Administracja'!J249+'Tab. 6C - Ochrona zdrowia'!J15</f>
        <v>39695719</v>
      </c>
      <c r="H64" s="97">
        <f>+'Tab. 6D - Oświata'!K73+'Tab. 6A -Drogi'!K435+'Tab. 6E - Administracja'!K249+'Tab. 6C - Ochrona zdrowia'!K15</f>
        <v>46026281</v>
      </c>
      <c r="I64" s="97">
        <f>+'Tab. 6D - Oświata'!L73+'Tab. 6A -Drogi'!L435+'Tab. 6E - Administracja'!L249+'Tab. 6C - Ochrona zdrowia'!L15</f>
        <v>128373468</v>
      </c>
      <c r="J64" s="97">
        <f>+'Tab. 6D - Oświata'!M73+'Tab. 6A -Drogi'!M435+'Tab. 6E - Administracja'!M249+'Tab. 6C - Ochrona zdrowia'!M15+'Tab.6I - Planow. przestrz.'!M53</f>
        <v>353864781</v>
      </c>
      <c r="K64" s="1603">
        <f>+'Tab. 6D - Oświata'!N73+'Tab. 6A -Drogi'!N435+'Tab. 6E - Administracja'!N249+'Tab. 6C - Ochrona zdrowia'!N15</f>
        <v>130897445</v>
      </c>
      <c r="L64" s="97">
        <f>+'Tab. 6D - Oświata'!O73+'Tab. 6A -Drogi'!O435+'Tab. 6E - Administracja'!O249+'Tab. 6C - Ochrona zdrowia'!O15+'Tab.6I - Planow. przestrz.'!O53</f>
        <v>116487921</v>
      </c>
      <c r="M64" s="97">
        <f>+'Tab. 6D - Oświata'!P73+'Tab. 6A -Drogi'!P435+'Tab. 6E - Administracja'!P249+'Tab. 6C - Ochrona zdrowia'!P15+'Tab.6I - Planow. przestrz.'!P53</f>
        <v>134148911.64</v>
      </c>
      <c r="N64" s="97">
        <f>+'Tab. 6D - Oświata'!Q73+'Tab. 6A -Drogi'!Q435+'Tab. 6E - Administracja'!Q249+'Tab. 6C - Ochrona zdrowia'!Q15+'Tab.6I - Planow. przestrz.'!Q53</f>
        <v>134835896</v>
      </c>
      <c r="O64" s="97">
        <f>+'Tab. 6D - Oświata'!R73+'Tab. 6A -Drogi'!R435+'Tab. 6E - Administracja'!R249+'Tab. 6C - Ochrona zdrowia'!R15+'Tab.6I - Planow. przestrz.'!R53</f>
        <v>129270431</v>
      </c>
      <c r="P64" s="97">
        <f>+'Tab. 6D - Oświata'!S73+'Tab. 6A -Drogi'!S435+'Tab. 6E - Administracja'!S249+'Tab. 6C - Ochrona zdrowia'!S15+'Tab.6I - Planow. przestrz.'!S53</f>
        <v>89151098</v>
      </c>
      <c r="Q64" s="97">
        <f>+'Tab. 6D - Oświata'!T73+'Tab. 6A -Drogi'!T435+'Tab. 6E - Administracja'!T249+'Tab. 6C - Ochrona zdrowia'!T15+'Tab.6I - Planow. przestrz.'!T53</f>
        <v>82634047</v>
      </c>
      <c r="R64" s="97">
        <f>+'Tab. 6D - Oświata'!U73+'Tab. 6A -Drogi'!U435+'Tab. 6E - Administracja'!U249+'Tab. 6C - Ochrona zdrowia'!U15+'Tab.6I - Planow. przestrz.'!U53</f>
        <v>1999047</v>
      </c>
      <c r="S64" s="97">
        <f>+'Tab. 6D - Oświata'!V73+'Tab. 6A -Drogi'!V435+'Tab. 6E - Administracja'!V249+'Tab. 6C - Ochrona zdrowia'!V15+'Tab.6I - Planow. przestrz.'!V53</f>
        <v>1859047</v>
      </c>
      <c r="T64" s="97">
        <f>+'Tab. 6D - Oświata'!W73+'Tab. 6A -Drogi'!W435+'Tab. 6E - Administracja'!W249+'Tab. 6C - Ochrona zdrowia'!W15+'Tab.6I - Planow. przestrz.'!W53</f>
        <v>919047</v>
      </c>
      <c r="U64" s="98">
        <f>J64+L64+M64+N64+O64+P64+Q64+R64+S64+T64+2514288+1050002</f>
        <v>1048734516.64</v>
      </c>
      <c r="V64" s="30">
        <f>SUM(M64:T64)+2514288+1050002</f>
        <v>578381814.63999999</v>
      </c>
      <c r="W64" s="336"/>
      <c r="X64" s="3102">
        <f>T64+S64+R64+Q64+P64+O64+N64+M64+L64+J64+3564290</f>
        <v>1048734516.64</v>
      </c>
      <c r="Y64" s="3103">
        <f t="shared" si="34"/>
        <v>0</v>
      </c>
    </row>
    <row r="65" spans="1:25" s="39" customFormat="1" ht="15.75" customHeight="1">
      <c r="A65" s="54" t="s">
        <v>28</v>
      </c>
      <c r="B65" s="74">
        <f>+'Tab. 6A -Drogi'!E438+'Tab. 6G - Roln i ochrona środ.'!E190</f>
        <v>0</v>
      </c>
      <c r="C65" s="74">
        <f>+'Tab. 6A -Drogi'!F438+'Tab. 6G - Roln i ochrona środ.'!F190</f>
        <v>0</v>
      </c>
      <c r="D65" s="74">
        <f>+'Tab. 6A -Drogi'!G438+'Tab. 6G - Roln i ochrona środ.'!G190</f>
        <v>0</v>
      </c>
      <c r="E65" s="74">
        <f>+'Tab. 6A -Drogi'!H438+'Tab. 6G - Roln i ochrona środ.'!H190</f>
        <v>0</v>
      </c>
      <c r="F65" s="74">
        <f>+'Tab. 6A -Drogi'!I438+'Tab. 6G - Roln i ochrona środ.'!I190</f>
        <v>0</v>
      </c>
      <c r="G65" s="74">
        <f>+'Tab. 6A -Drogi'!J438+'Tab. 6G - Roln i ochrona środ.'!J190</f>
        <v>0</v>
      </c>
      <c r="H65" s="97">
        <f>+'Tab. 6A -Drogi'!K438+'Tab. 6G - Roln i ochrona środ.'!K190</f>
        <v>0</v>
      </c>
      <c r="I65" s="97">
        <f>+'Tab. 6A -Drogi'!L438+'Tab. 6G - Roln i ochrona środ.'!L190</f>
        <v>0</v>
      </c>
      <c r="J65" s="97">
        <f>+'Tab. 6A -Drogi'!M438+'Tab. 6G - Roln i ochrona środ.'!M190</f>
        <v>0</v>
      </c>
      <c r="K65" s="1603">
        <f>+'Tab. 6A -Drogi'!N438+'Tab. 6G - Roln i ochrona środ.'!N190+'Tab. 6H - Kultura fiz. i turyst'!N125</f>
        <v>0</v>
      </c>
      <c r="L65" s="97">
        <f>+'Tab. 6A -Drogi'!O438+'Tab. 6G - Roln i ochrona środ.'!O190+'Tab. 6H - Kultura fiz. i turyst'!O125</f>
        <v>0</v>
      </c>
      <c r="M65" s="97">
        <f>+'Tab. 6A -Drogi'!P438+'Tab. 6G - Roln i ochrona środ.'!P190+'Tab. 6H - Kultura fiz. i turyst'!P125</f>
        <v>0</v>
      </c>
      <c r="N65" s="97">
        <f>+'Tab. 6A -Drogi'!Q438+'Tab. 6G - Roln i ochrona środ.'!Q190+'Tab. 6H - Kultura fiz. i turyst'!Q125</f>
        <v>0</v>
      </c>
      <c r="O65" s="97">
        <f>+'Tab. 6A -Drogi'!R438+'Tab. 6G - Roln i ochrona środ.'!R190+'Tab. 6H - Kultura fiz. i turyst'!R125</f>
        <v>0</v>
      </c>
      <c r="P65" s="97">
        <f>+'Tab. 6A -Drogi'!S438+'Tab. 6G - Roln i ochrona środ.'!S190+'Tab. 6H - Kultura fiz. i turyst'!S125</f>
        <v>0</v>
      </c>
      <c r="Q65" s="97">
        <f>+'Tab. 6A -Drogi'!T438+'Tab. 6G - Roln i ochrona środ.'!T190+'Tab. 6H - Kultura fiz. i turyst'!T125</f>
        <v>0</v>
      </c>
      <c r="R65" s="97">
        <f>+'Tab. 6A -Drogi'!U438+'Tab. 6G - Roln i ochrona środ.'!U190+'Tab. 6H - Kultura fiz. i turyst'!U125</f>
        <v>0</v>
      </c>
      <c r="S65" s="97">
        <f>+'Tab. 6A -Drogi'!V438+'Tab. 6G - Roln i ochrona środ.'!V190+'Tab. 6H - Kultura fiz. i turyst'!V125</f>
        <v>0</v>
      </c>
      <c r="T65" s="97">
        <f>+'Tab. 6A -Drogi'!W438+'Tab. 6G - Roln i ochrona środ.'!W190+'Tab. 6H - Kultura fiz. i turyst'!W125</f>
        <v>0</v>
      </c>
      <c r="U65" s="98">
        <f>J65+L65+M65+N65+O65+P65+Q65+R65+S65+T65</f>
        <v>0</v>
      </c>
      <c r="V65" s="30">
        <f>SUM(M65:T65)</f>
        <v>0</v>
      </c>
      <c r="W65" s="336"/>
      <c r="X65" s="3102">
        <f t="shared" si="35"/>
        <v>0</v>
      </c>
      <c r="Y65" s="3103">
        <f t="shared" si="34"/>
        <v>0</v>
      </c>
    </row>
    <row r="66" spans="1:25" s="39" customFormat="1" ht="15.75" customHeight="1">
      <c r="A66" s="54" t="s">
        <v>45</v>
      </c>
      <c r="B66" s="97">
        <f>+'Tab. 6F - Kultura'!E13+'Tab. 6C - Ochrona zdrowia'!E16</f>
        <v>1070089</v>
      </c>
      <c r="C66" s="97">
        <f>+'Tab. 6F - Kultura'!F13+'Tab. 6C - Ochrona zdrowia'!F16</f>
        <v>0</v>
      </c>
      <c r="D66" s="97">
        <f>+'Tab. 6F - Kultura'!G13+'Tab. 6C - Ochrona zdrowia'!G16</f>
        <v>75454</v>
      </c>
      <c r="E66" s="97">
        <f>+'Tab. 6F - Kultura'!H13+'Tab. 6C - Ochrona zdrowia'!H16</f>
        <v>2710879</v>
      </c>
      <c r="F66" s="97">
        <f>+'Tab. 6F - Kultura'!I13+'Tab. 6C - Ochrona zdrowia'!I16</f>
        <v>1319496</v>
      </c>
      <c r="G66" s="97">
        <f>+'Tab. 6F - Kultura'!J13+'Tab. 6C - Ochrona zdrowia'!J16</f>
        <v>3564869</v>
      </c>
      <c r="H66" s="97">
        <f>+'Tab. 6F - Kultura'!K13+'Tab. 6C - Ochrona zdrowia'!K16</f>
        <v>5102545</v>
      </c>
      <c r="I66" s="97">
        <f>+'Tab. 6F - Kultura'!L13+'Tab. 6C - Ochrona zdrowia'!L16</f>
        <v>25514982</v>
      </c>
      <c r="J66" s="97">
        <f>+'Tab. 6F - Kultura'!M13+'Tab. 6C - Ochrona zdrowia'!M16</f>
        <v>41503372</v>
      </c>
      <c r="K66" s="1603">
        <f>+'Tab. 6F - Kultura'!N13+'Tab. 6C - Ochrona zdrowia'!N16</f>
        <v>4866393</v>
      </c>
      <c r="L66" s="97">
        <f>+'Tab. 6F - Kultura'!O13+'Tab. 6C - Ochrona zdrowia'!O16</f>
        <v>13509001</v>
      </c>
      <c r="M66" s="97">
        <f>+'Tab. 6F - Kultura'!P13+'Tab. 6C - Ochrona zdrowia'!P16</f>
        <v>19880584</v>
      </c>
      <c r="N66" s="97">
        <f>+'Tab. 6F - Kultura'!Q13+'Tab. 6C - Ochrona zdrowia'!Q16</f>
        <v>0</v>
      </c>
      <c r="O66" s="97">
        <f>+'Tab. 6F - Kultura'!R13+'Tab. 6C - Ochrona zdrowia'!R16</f>
        <v>0</v>
      </c>
      <c r="P66" s="97">
        <f>+'Tab. 6F - Kultura'!S13+'Tab. 6C - Ochrona zdrowia'!S16</f>
        <v>0</v>
      </c>
      <c r="Q66" s="97">
        <f>+'Tab. 6F - Kultura'!T13+'Tab. 6C - Ochrona zdrowia'!T16</f>
        <v>0</v>
      </c>
      <c r="R66" s="97">
        <f>+'Tab. 6F - Kultura'!U13+'Tab. 6C - Ochrona zdrowia'!U16</f>
        <v>0</v>
      </c>
      <c r="S66" s="97">
        <f>+'Tab. 6F - Kultura'!V13+'Tab. 6C - Ochrona zdrowia'!V16</f>
        <v>0</v>
      </c>
      <c r="T66" s="97">
        <f>+'Tab. 6F - Kultura'!W13+'Tab. 6C - Ochrona zdrowia'!W16</f>
        <v>0</v>
      </c>
      <c r="U66" s="98">
        <f>J66+L66+M66+N66+O66+P66+Q66+R66+S66+T66</f>
        <v>74892957</v>
      </c>
      <c r="V66" s="1183">
        <v>0</v>
      </c>
      <c r="W66" s="31"/>
      <c r="X66" s="3102">
        <f t="shared" si="35"/>
        <v>74892957</v>
      </c>
      <c r="Y66" s="3103">
        <f t="shared" si="34"/>
        <v>0</v>
      </c>
    </row>
    <row r="67" spans="1:25" s="39" customFormat="1" ht="15.75" customHeight="1">
      <c r="A67" s="51" t="s">
        <v>46</v>
      </c>
      <c r="B67" s="97">
        <f>+'Tab. 6F - Kultura'!E14+'Tab. 6C - Ochrona zdrowia'!E17+'Tab. 6D - Oświata'!E72</f>
        <v>3621827</v>
      </c>
      <c r="C67" s="97">
        <f>+'Tab. 6F - Kultura'!F14+'Tab. 6C - Ochrona zdrowia'!F17+'Tab. 6D - Oświata'!F72</f>
        <v>0</v>
      </c>
      <c r="D67" s="97">
        <f>+'Tab. 6F - Kultura'!G14+'Tab. 6C - Ochrona zdrowia'!G17+'Tab. 6D - Oświata'!G72</f>
        <v>27000</v>
      </c>
      <c r="E67" s="97">
        <f>+'Tab. 6F - Kultura'!H14+'Tab. 6C - Ochrona zdrowia'!H17+'Tab. 6D - Oświata'!H72</f>
        <v>3348880.0600000005</v>
      </c>
      <c r="F67" s="97">
        <f>+'Tab. 6F - Kultura'!I14+'Tab. 6C - Ochrona zdrowia'!I17+'Tab. 6D - Oświata'!I72</f>
        <v>6819986</v>
      </c>
      <c r="G67" s="97">
        <f>+'Tab. 6F - Kultura'!J14+'Tab. 6C - Ochrona zdrowia'!J17+'Tab. 6D - Oświata'!J72</f>
        <v>10846424</v>
      </c>
      <c r="H67" s="97">
        <f>+'Tab. 6F - Kultura'!K14+'Tab. 6C - Ochrona zdrowia'!K17+'Tab. 6D - Oświata'!K72</f>
        <v>13251483</v>
      </c>
      <c r="I67" s="97">
        <f>+'Tab. 6F - Kultura'!L14+'Tab. 6C - Ochrona zdrowia'!L17+'Tab. 6D - Oświata'!L72+'Tab. 6H - Kultura fiz. i turyst'!L133</f>
        <v>4701687</v>
      </c>
      <c r="J67" s="97">
        <f>+'Tab. 6F - Kultura'!M14+'Tab. 6C - Ochrona zdrowia'!M17+'Tab. 6D - Oświata'!M72+'Tab. 6H - Kultura fiz. i turyst'!M133</f>
        <v>67019692</v>
      </c>
      <c r="K67" s="1603">
        <f>+'Tab. 6F - Kultura'!N14+'Tab. 6C - Ochrona zdrowia'!N17+'Tab. 6D - Oświata'!N72+'Tab. 6H - Kultura fiz. i turyst'!N133</f>
        <v>27778285</v>
      </c>
      <c r="L67" s="97">
        <f>+'Tab. 6F - Kultura'!O14+'Tab. 6C - Ochrona zdrowia'!O17+'Tab. 6D - Oświata'!O72+'Tab. 6H - Kultura fiz. i turyst'!O133</f>
        <v>40904911</v>
      </c>
      <c r="M67" s="97">
        <f>+'Tab. 6F - Kultura'!P14+'Tab. 6C - Ochrona zdrowia'!P17+'Tab. 6D - Oświata'!P72+'Tab. 6H - Kultura fiz. i turyst'!P133</f>
        <v>5039601</v>
      </c>
      <c r="N67" s="97">
        <f>+'Tab. 6F - Kultura'!Q14+'Tab. 6C - Ochrona zdrowia'!Q17+'Tab. 6D - Oświata'!Q72+'Tab. 6H - Kultura fiz. i turyst'!Q133</f>
        <v>0</v>
      </c>
      <c r="O67" s="97">
        <f>+'Tab. 6F - Kultura'!R14+'Tab. 6C - Ochrona zdrowia'!R17+'Tab. 6D - Oświata'!R72+'Tab. 6H - Kultura fiz. i turyst'!R133</f>
        <v>0</v>
      </c>
      <c r="P67" s="97">
        <f>+'Tab. 6F - Kultura'!S14+'Tab. 6C - Ochrona zdrowia'!S17+'Tab. 6D - Oświata'!S72+'Tab. 6H - Kultura fiz. i turyst'!S133</f>
        <v>0</v>
      </c>
      <c r="Q67" s="97">
        <f>+'Tab. 6F - Kultura'!T14+'Tab. 6C - Ochrona zdrowia'!T17+'Tab. 6D - Oświata'!T72+'Tab. 6H - Kultura fiz. i turyst'!T133</f>
        <v>0</v>
      </c>
      <c r="R67" s="97">
        <f>+'Tab. 6F - Kultura'!U14+'Tab. 6C - Ochrona zdrowia'!U17+'Tab. 6D - Oświata'!U72+'Tab. 6H - Kultura fiz. i turyst'!U133</f>
        <v>0</v>
      </c>
      <c r="S67" s="97">
        <f>+'Tab. 6F - Kultura'!V14+'Tab. 6C - Ochrona zdrowia'!V17+'Tab. 6D - Oświata'!V72+'Tab. 6H - Kultura fiz. i turyst'!V133</f>
        <v>0</v>
      </c>
      <c r="T67" s="97">
        <f>+'Tab. 6F - Kultura'!W14+'Tab. 6C - Ochrona zdrowia'!W17+'Tab. 6D - Oświata'!W72+'Tab. 6H - Kultura fiz. i turyst'!W133</f>
        <v>0</v>
      </c>
      <c r="U67" s="98">
        <f t="shared" ref="U67:U71" si="43">J67+L67+M67+N67+O67+P67+Q67+R67+S67+T67</f>
        <v>112964204</v>
      </c>
      <c r="V67" s="30">
        <f>SUM(M67:T67)</f>
        <v>5039601</v>
      </c>
      <c r="W67" s="336"/>
      <c r="X67" s="3102">
        <f t="shared" si="35"/>
        <v>112964204</v>
      </c>
      <c r="Y67" s="3103">
        <f t="shared" si="34"/>
        <v>0</v>
      </c>
    </row>
    <row r="68" spans="1:25" s="39" customFormat="1" ht="15.75" customHeight="1">
      <c r="A68" s="54" t="s">
        <v>27</v>
      </c>
      <c r="B68" s="97">
        <f>+'Tab. 6A -Drogi'!E437+'Tab. 6C - Ochrona zdrowia'!E19</f>
        <v>279786</v>
      </c>
      <c r="C68" s="97">
        <f>+'Tab. 6A -Drogi'!F437+'Tab. 6C - Ochrona zdrowia'!F19</f>
        <v>0</v>
      </c>
      <c r="D68" s="97">
        <f>+'Tab. 6A -Drogi'!G437+'Tab. 6C - Ochrona zdrowia'!G19</f>
        <v>0</v>
      </c>
      <c r="E68" s="97">
        <f>+'Tab. 6A -Drogi'!H437+'Tab. 6C - Ochrona zdrowia'!H19</f>
        <v>279786</v>
      </c>
      <c r="F68" s="97">
        <f>+'Tab. 6A -Drogi'!I437+'Tab. 6C - Ochrona zdrowia'!I19</f>
        <v>2494494</v>
      </c>
      <c r="G68" s="97">
        <f>+'Tab. 6A -Drogi'!J437+'Tab. 6C - Ochrona zdrowia'!J19</f>
        <v>2145000</v>
      </c>
      <c r="H68" s="97">
        <f>+'Tab. 6A -Drogi'!K437+'Tab. 6C - Ochrona zdrowia'!K19</f>
        <v>2717825</v>
      </c>
      <c r="I68" s="97">
        <f>+'Tab. 6A -Drogi'!L437+'Tab. 6C - Ochrona zdrowia'!L19</f>
        <v>3712896</v>
      </c>
      <c r="J68" s="97">
        <f>+'Tab. 6A -Drogi'!M437+'Tab. 6C - Ochrona zdrowia'!M19</f>
        <v>16415558</v>
      </c>
      <c r="K68" s="1603">
        <f>+'Tab. 6A -Drogi'!N437+'Tab. 6C - Ochrona zdrowia'!N19</f>
        <v>5065557</v>
      </c>
      <c r="L68" s="97">
        <f>+'Tab. 6A -Drogi'!O437+'Tab. 6C - Ochrona zdrowia'!O19</f>
        <v>2081313</v>
      </c>
      <c r="M68" s="97">
        <f>+'Tab. 6A -Drogi'!P437+'Tab. 6C - Ochrona zdrowia'!P19</f>
        <v>1398414</v>
      </c>
      <c r="N68" s="97">
        <f>+'Tab. 6A -Drogi'!Q437+'Tab. 6C - Ochrona zdrowia'!Q19</f>
        <v>0</v>
      </c>
      <c r="O68" s="97">
        <f>+'Tab. 6A -Drogi'!R437+'Tab. 6C - Ochrona zdrowia'!R19</f>
        <v>0</v>
      </c>
      <c r="P68" s="97">
        <f>+'Tab. 6A -Drogi'!S437+'Tab. 6C - Ochrona zdrowia'!S19</f>
        <v>0</v>
      </c>
      <c r="Q68" s="97">
        <f>+'Tab. 6A -Drogi'!T437+'Tab. 6C - Ochrona zdrowia'!T19</f>
        <v>0</v>
      </c>
      <c r="R68" s="97">
        <f>+'Tab. 6A -Drogi'!U437+'Tab. 6C - Ochrona zdrowia'!U19</f>
        <v>0</v>
      </c>
      <c r="S68" s="97">
        <f>+'Tab. 6A -Drogi'!V437+'Tab. 6C - Ochrona zdrowia'!V19</f>
        <v>0</v>
      </c>
      <c r="T68" s="97">
        <f>+'Tab. 6A -Drogi'!W437+'Tab. 6C - Ochrona zdrowia'!W19</f>
        <v>0</v>
      </c>
      <c r="U68" s="98">
        <f t="shared" si="43"/>
        <v>19895285</v>
      </c>
      <c r="V68" s="30">
        <f>SUM(M68:T68)</f>
        <v>1398414</v>
      </c>
      <c r="W68" s="336"/>
      <c r="X68" s="3102">
        <f t="shared" si="35"/>
        <v>19895285</v>
      </c>
      <c r="Y68" s="3103">
        <f t="shared" si="34"/>
        <v>0</v>
      </c>
    </row>
    <row r="69" spans="1:25" s="39" customFormat="1" ht="15.75" customHeight="1">
      <c r="A69" s="54" t="s">
        <v>25</v>
      </c>
      <c r="B69" s="74">
        <f>+'Tab. 6A -Drogi'!E436+'Tab. 6C - Ochrona zdrowia'!E18</f>
        <v>0</v>
      </c>
      <c r="C69" s="74">
        <f>+'Tab. 6A -Drogi'!F436+'Tab. 6C - Ochrona zdrowia'!F18</f>
        <v>0</v>
      </c>
      <c r="D69" s="74">
        <f>+'Tab. 6A -Drogi'!G436+'Tab. 6C - Ochrona zdrowia'!G18</f>
        <v>0</v>
      </c>
      <c r="E69" s="74">
        <f>+'Tab. 6A -Drogi'!H436+'Tab. 6C - Ochrona zdrowia'!H18</f>
        <v>0</v>
      </c>
      <c r="F69" s="74">
        <f>+'Tab. 6A -Drogi'!I436+'Tab. 6C - Ochrona zdrowia'!I18</f>
        <v>0</v>
      </c>
      <c r="G69" s="97">
        <f>+'Tab. 6A -Drogi'!J436+'Tab. 6C - Ochrona zdrowia'!J18</f>
        <v>8065000</v>
      </c>
      <c r="H69" s="97">
        <f>+'Tab. 6A -Drogi'!K436+'Tab. 6C - Ochrona zdrowia'!K18</f>
        <v>1854955</v>
      </c>
      <c r="I69" s="97">
        <f>+'Tab. 6A -Drogi'!L436+'Tab. 6C - Ochrona zdrowia'!L18</f>
        <v>3882193</v>
      </c>
      <c r="J69" s="97">
        <f>+'Tab. 6A -Drogi'!M436+'Tab. 6C - Ochrona zdrowia'!M18</f>
        <v>23900058</v>
      </c>
      <c r="K69" s="1603">
        <f>+'Tab. 6A -Drogi'!N436+'Tab. 6C - Ochrona zdrowia'!N18</f>
        <v>10097910</v>
      </c>
      <c r="L69" s="97">
        <f>+'Tab. 6A -Drogi'!O436+'Tab. 6C - Ochrona zdrowia'!O18</f>
        <v>24216472</v>
      </c>
      <c r="M69" s="97">
        <f>+'Tab. 6A -Drogi'!P436+'Tab. 6C - Ochrona zdrowia'!P18</f>
        <v>6480895</v>
      </c>
      <c r="N69" s="97">
        <f>+'Tab. 6A -Drogi'!Q436+'Tab. 6C - Ochrona zdrowia'!Q18</f>
        <v>0</v>
      </c>
      <c r="O69" s="97">
        <f>+'Tab. 6A -Drogi'!R436+'Tab. 6C - Ochrona zdrowia'!R18</f>
        <v>0</v>
      </c>
      <c r="P69" s="97">
        <f>+'Tab. 6A -Drogi'!S436+'Tab. 6C - Ochrona zdrowia'!S18</f>
        <v>0</v>
      </c>
      <c r="Q69" s="97">
        <f>+'Tab. 6A -Drogi'!T436+'Tab. 6C - Ochrona zdrowia'!T18</f>
        <v>0</v>
      </c>
      <c r="R69" s="97">
        <f>+'Tab. 6A -Drogi'!U436+'Tab. 6C - Ochrona zdrowia'!U18</f>
        <v>0</v>
      </c>
      <c r="S69" s="97">
        <f>+'Tab. 6A -Drogi'!V436+'Tab. 6C - Ochrona zdrowia'!V18</f>
        <v>0</v>
      </c>
      <c r="T69" s="97">
        <f>+'Tab. 6A -Drogi'!W436+'Tab. 6C - Ochrona zdrowia'!W18</f>
        <v>0</v>
      </c>
      <c r="U69" s="98">
        <f t="shared" si="43"/>
        <v>54597425</v>
      </c>
      <c r="V69" s="30">
        <f>SUM(M69:T69)</f>
        <v>6480895</v>
      </c>
      <c r="W69" s="336"/>
      <c r="X69" s="3102">
        <f t="shared" si="35"/>
        <v>54597425</v>
      </c>
      <c r="Y69" s="3103">
        <f t="shared" si="34"/>
        <v>0</v>
      </c>
    </row>
    <row r="70" spans="1:25" s="39" customFormat="1" ht="14.25" hidden="1" customHeight="1">
      <c r="A70" s="99" t="s">
        <v>47</v>
      </c>
      <c r="B70" s="74">
        <f>+'Tab. 6D - Oświata'!E71</f>
        <v>0</v>
      </c>
      <c r="C70" s="74">
        <f>+'Tab. 6D - Oświata'!F71</f>
        <v>0</v>
      </c>
      <c r="D70" s="74">
        <f>+'Tab. 6D - Oświata'!G71</f>
        <v>0</v>
      </c>
      <c r="E70" s="74">
        <f>+'Tab. 6D - Oświata'!H71</f>
        <v>0</v>
      </c>
      <c r="F70" s="74">
        <f>+'Tab. 6D - Oświata'!I71</f>
        <v>0</v>
      </c>
      <c r="G70" s="74">
        <f>+'Tab. 6D - Oświata'!J71</f>
        <v>0</v>
      </c>
      <c r="H70" s="74">
        <f>+'Tab. 6D - Oświata'!K71</f>
        <v>0</v>
      </c>
      <c r="I70" s="97">
        <f>+'Tab. 6D - Oświata'!L71</f>
        <v>0</v>
      </c>
      <c r="J70" s="97">
        <f>+'Tab. 6D - Oświata'!M71</f>
        <v>0</v>
      </c>
      <c r="K70" s="1603">
        <f>+'Tab. 6D - Oświata'!N71</f>
        <v>0</v>
      </c>
      <c r="L70" s="97">
        <f>+'Tab. 6D - Oświata'!O71</f>
        <v>0</v>
      </c>
      <c r="M70" s="97">
        <f>+'Tab. 6D - Oświata'!P71</f>
        <v>0</v>
      </c>
      <c r="N70" s="97">
        <f>+'Tab. 6D - Oświata'!Q71</f>
        <v>0</v>
      </c>
      <c r="O70" s="97">
        <f>+'Tab. 6D - Oświata'!R71</f>
        <v>0</v>
      </c>
      <c r="P70" s="97">
        <f>+'Tab. 6D - Oświata'!S71</f>
        <v>0</v>
      </c>
      <c r="Q70" s="97">
        <f>+'Tab. 6D - Oświata'!T71</f>
        <v>0</v>
      </c>
      <c r="R70" s="97">
        <f>+'Tab. 6D - Oświata'!U71</f>
        <v>0</v>
      </c>
      <c r="S70" s="97">
        <f>+'Tab. 6D - Oświata'!V71</f>
        <v>0</v>
      </c>
      <c r="T70" s="97">
        <f>+'Tab. 6D - Oświata'!W71</f>
        <v>0</v>
      </c>
      <c r="U70" s="98">
        <f t="shared" si="43"/>
        <v>0</v>
      </c>
      <c r="V70" s="1183">
        <v>0</v>
      </c>
      <c r="W70" s="31"/>
      <c r="X70" s="3102">
        <f t="shared" si="35"/>
        <v>0</v>
      </c>
      <c r="Y70" s="3103">
        <f t="shared" si="34"/>
        <v>0</v>
      </c>
    </row>
    <row r="71" spans="1:25" s="39" customFormat="1" ht="15.75" customHeight="1">
      <c r="A71" s="54" t="s">
        <v>26</v>
      </c>
      <c r="B71" s="74">
        <f>+'Tab. 6G - Roln i ochrona środ.'!E189</f>
        <v>0</v>
      </c>
      <c r="C71" s="74">
        <f>+'Tab. 6G - Roln i ochrona środ.'!F189</f>
        <v>0</v>
      </c>
      <c r="D71" s="74">
        <f>+'Tab. 6G - Roln i ochrona środ.'!G189</f>
        <v>0</v>
      </c>
      <c r="E71" s="74">
        <f>+'Tab. 6G - Roln i ochrona środ.'!H189</f>
        <v>0</v>
      </c>
      <c r="F71" s="74">
        <f>+'Tab. 6G - Roln i ochrona środ.'!I189</f>
        <v>0</v>
      </c>
      <c r="G71" s="74">
        <f>+'Tab. 6G - Roln i ochrona środ.'!J189</f>
        <v>0</v>
      </c>
      <c r="H71" s="97">
        <f>+'Tab. 6G - Roln i ochrona środ.'!K189</f>
        <v>0</v>
      </c>
      <c r="I71" s="74">
        <f>+'Tab. 6G - Roln i ochrona środ.'!L189</f>
        <v>0</v>
      </c>
      <c r="J71" s="97">
        <f>+'Tab. 6G - Roln i ochrona środ.'!M189+'Tab. 6E - Administracja'!M266</f>
        <v>200000</v>
      </c>
      <c r="K71" s="97">
        <f>+'Tab. 6G - Roln i ochrona środ.'!N189+'Tab. 6E - Administracja'!N266</f>
        <v>200000</v>
      </c>
      <c r="L71" s="97">
        <f>+'Tab. 6G - Roln i ochrona środ.'!O189+'Tab. 6E - Administracja'!O266</f>
        <v>147000</v>
      </c>
      <c r="M71" s="97">
        <f>+'Tab. 6E - Administracja'!P250</f>
        <v>0</v>
      </c>
      <c r="N71" s="97">
        <f>+'Tab. 6E - Administracja'!Q250</f>
        <v>0</v>
      </c>
      <c r="O71" s="97">
        <f>+'Tab. 6E - Administracja'!R250</f>
        <v>0</v>
      </c>
      <c r="P71" s="97">
        <f>+'Tab. 6E - Administracja'!S250</f>
        <v>0</v>
      </c>
      <c r="Q71" s="97">
        <f>+'Tab. 6E - Administracja'!T250</f>
        <v>0</v>
      </c>
      <c r="R71" s="97">
        <f>+'Tab. 6E - Administracja'!U250</f>
        <v>0</v>
      </c>
      <c r="S71" s="97">
        <f>+'Tab. 6E - Administracja'!V250</f>
        <v>0</v>
      </c>
      <c r="T71" s="97">
        <f>+'Tab. 6E - Administracja'!W250</f>
        <v>0</v>
      </c>
      <c r="U71" s="98">
        <f t="shared" si="43"/>
        <v>347000</v>
      </c>
      <c r="V71" s="30">
        <f>SUM(M71:T71)</f>
        <v>0</v>
      </c>
      <c r="W71" s="336"/>
      <c r="X71" s="3102">
        <f t="shared" si="35"/>
        <v>347000</v>
      </c>
      <c r="Y71" s="3103">
        <f t="shared" si="34"/>
        <v>0</v>
      </c>
    </row>
    <row r="72" spans="1:25" s="39" customFormat="1" ht="18" customHeight="1">
      <c r="A72" s="62" t="s">
        <v>30</v>
      </c>
      <c r="B72" s="100">
        <f t="shared" ref="B72:Q72" si="44">SUM(B73:B73)</f>
        <v>0</v>
      </c>
      <c r="C72" s="101">
        <f t="shared" si="44"/>
        <v>0</v>
      </c>
      <c r="D72" s="101">
        <f t="shared" si="44"/>
        <v>0</v>
      </c>
      <c r="E72" s="101">
        <f t="shared" si="44"/>
        <v>0</v>
      </c>
      <c r="F72" s="70">
        <f t="shared" si="44"/>
        <v>15578755</v>
      </c>
      <c r="G72" s="70">
        <f t="shared" si="44"/>
        <v>8230447</v>
      </c>
      <c r="H72" s="70">
        <f t="shared" si="44"/>
        <v>5960146</v>
      </c>
      <c r="I72" s="70">
        <f t="shared" si="44"/>
        <v>6139130</v>
      </c>
      <c r="J72" s="70">
        <f t="shared" si="44"/>
        <v>63697189</v>
      </c>
      <c r="K72" s="1594">
        <f>+K73</f>
        <v>27788711</v>
      </c>
      <c r="L72" s="70">
        <f>+L73</f>
        <v>84916545</v>
      </c>
      <c r="M72" s="70">
        <f t="shared" si="44"/>
        <v>2189687</v>
      </c>
      <c r="N72" s="102">
        <f t="shared" si="44"/>
        <v>0</v>
      </c>
      <c r="O72" s="102">
        <f t="shared" si="44"/>
        <v>0</v>
      </c>
      <c r="P72" s="102">
        <f t="shared" si="44"/>
        <v>0</v>
      </c>
      <c r="Q72" s="102">
        <f t="shared" si="44"/>
        <v>0</v>
      </c>
      <c r="R72" s="102"/>
      <c r="S72" s="110"/>
      <c r="T72" s="110"/>
      <c r="U72" s="103">
        <f t="shared" ref="U72" si="45">+U73</f>
        <v>150803421</v>
      </c>
      <c r="V72" s="1182">
        <v>0</v>
      </c>
      <c r="W72" s="31"/>
      <c r="X72" s="3102">
        <f t="shared" si="35"/>
        <v>150803421</v>
      </c>
      <c r="Y72" s="3103">
        <f t="shared" si="34"/>
        <v>0</v>
      </c>
    </row>
    <row r="73" spans="1:25" s="39" customFormat="1" ht="16.5" customHeight="1">
      <c r="A73" s="54" t="s">
        <v>48</v>
      </c>
      <c r="B73" s="97">
        <f>+'Tab. 6D - Oświata'!E75+'Tab. 6F - Kultura'!E16+'Tab. 6C - Ochrona zdrowia'!E21</f>
        <v>0</v>
      </c>
      <c r="C73" s="97">
        <f>+'Tab. 6D - Oświata'!F75+'Tab. 6F - Kultura'!F16+'Tab. 6C - Ochrona zdrowia'!F21</f>
        <v>0</v>
      </c>
      <c r="D73" s="97">
        <f>+'Tab. 6D - Oświata'!G75+'Tab. 6F - Kultura'!G16+'Tab. 6C - Ochrona zdrowia'!G21</f>
        <v>0</v>
      </c>
      <c r="E73" s="97">
        <f>+'Tab. 6D - Oświata'!H75+'Tab. 6F - Kultura'!H16+'Tab. 6C - Ochrona zdrowia'!H21</f>
        <v>0</v>
      </c>
      <c r="F73" s="97">
        <f>+'Tab. 6D - Oświata'!I75+'Tab. 6F - Kultura'!I16+'Tab. 6C - Ochrona zdrowia'!I21</f>
        <v>15578755</v>
      </c>
      <c r="G73" s="97">
        <f>+'Tab. 6D - Oświata'!J75+'Tab. 6F - Kultura'!J16+'Tab. 6C - Ochrona zdrowia'!J21</f>
        <v>8230447</v>
      </c>
      <c r="H73" s="97">
        <f>+'Tab. 6D - Oświata'!K75+'Tab. 6F - Kultura'!K16+'Tab. 6C - Ochrona zdrowia'!K21</f>
        <v>5960146</v>
      </c>
      <c r="I73" s="97">
        <f>+'Tab. 6D - Oświata'!L75+'Tab. 6F - Kultura'!L16+'Tab. 6C - Ochrona zdrowia'!L21</f>
        <v>6139130</v>
      </c>
      <c r="J73" s="97">
        <f>+'Tab. 6D - Oświata'!M75+'Tab. 6F - Kultura'!M16+'Tab. 6C - Ochrona zdrowia'!M21</f>
        <v>63697189</v>
      </c>
      <c r="K73" s="1603">
        <f>+'Tab. 6D - Oświata'!N75+'Tab. 6F - Kultura'!N16+'Tab. 6C - Ochrona zdrowia'!N21</f>
        <v>27788711</v>
      </c>
      <c r="L73" s="97">
        <f>+'Tab. 6D - Oświata'!O75+'Tab. 6F - Kultura'!O16+'Tab. 6C - Ochrona zdrowia'!O21</f>
        <v>84916545</v>
      </c>
      <c r="M73" s="97">
        <f>+'Tab. 6D - Oświata'!P75+'Tab. 6F - Kultura'!P16+'Tab. 6C - Ochrona zdrowia'!P21</f>
        <v>2189687</v>
      </c>
      <c r="N73" s="97">
        <f>+'Tab. 6D - Oświata'!Q75+'Tab. 6F - Kultura'!Q16+'Tab. 6C - Ochrona zdrowia'!Q21</f>
        <v>0</v>
      </c>
      <c r="O73" s="97">
        <f>+'Tab. 6D - Oświata'!R75+'Tab. 6F - Kultura'!R16+'Tab. 6C - Ochrona zdrowia'!R21</f>
        <v>0</v>
      </c>
      <c r="P73" s="97">
        <f>+'Tab. 6D - Oświata'!S75+'Tab. 6F - Kultura'!S16+'Tab. 6C - Ochrona zdrowia'!S21</f>
        <v>0</v>
      </c>
      <c r="Q73" s="97">
        <f>+'Tab. 6D - Oświata'!T75+'Tab. 6F - Kultura'!T16+'Tab. 6C - Ochrona zdrowia'!T21</f>
        <v>0</v>
      </c>
      <c r="R73" s="97">
        <f>+'Tab. 6D - Oświata'!U75+'Tab. 6F - Kultura'!U16+'Tab. 6C - Ochrona zdrowia'!U21</f>
        <v>0</v>
      </c>
      <c r="S73" s="97">
        <f>+'Tab. 6D - Oświata'!V75+'Tab. 6F - Kultura'!V16+'Tab. 6C - Ochrona zdrowia'!V21</f>
        <v>0</v>
      </c>
      <c r="T73" s="97">
        <f>+'Tab. 6D - Oświata'!W75+'Tab. 6F - Kultura'!W16+'Tab. 6C - Ochrona zdrowia'!W21</f>
        <v>0</v>
      </c>
      <c r="U73" s="98">
        <f>J73+L73+M73+N73+O73+P73+Q73+R73+S73+T73</f>
        <v>150803421</v>
      </c>
      <c r="V73" s="1183">
        <v>0</v>
      </c>
      <c r="W73" s="31"/>
      <c r="X73" s="3102">
        <f t="shared" si="35"/>
        <v>150803421</v>
      </c>
      <c r="Y73" s="3103">
        <f t="shared" si="34"/>
        <v>0</v>
      </c>
    </row>
    <row r="74" spans="1:25" s="46" customFormat="1" ht="18" customHeight="1">
      <c r="A74" s="40" t="s">
        <v>34</v>
      </c>
      <c r="B74" s="104">
        <f t="shared" ref="B74:U74" si="46">+B75+B81</f>
        <v>279786</v>
      </c>
      <c r="C74" s="105">
        <f t="shared" si="46"/>
        <v>0</v>
      </c>
      <c r="D74" s="105">
        <f t="shared" si="46"/>
        <v>0</v>
      </c>
      <c r="E74" s="105">
        <f t="shared" si="46"/>
        <v>279786</v>
      </c>
      <c r="F74" s="106">
        <f t="shared" si="46"/>
        <v>18175186</v>
      </c>
      <c r="G74" s="106">
        <f t="shared" si="46"/>
        <v>18632875</v>
      </c>
      <c r="H74" s="106">
        <f t="shared" si="46"/>
        <v>13715018</v>
      </c>
      <c r="I74" s="106">
        <f>+I75+I81</f>
        <v>15182369</v>
      </c>
      <c r="J74" s="106">
        <f>+J75+J81</f>
        <v>111118641</v>
      </c>
      <c r="K74" s="1604">
        <f>+K75+K81</f>
        <v>45703407</v>
      </c>
      <c r="L74" s="106">
        <f t="shared" si="46"/>
        <v>134786121</v>
      </c>
      <c r="M74" s="106">
        <f t="shared" si="46"/>
        <v>26089416</v>
      </c>
      <c r="N74" s="106">
        <f t="shared" ref="N74:O74" si="47">+N75+N81</f>
        <v>10500000</v>
      </c>
      <c r="O74" s="106">
        <f t="shared" si="47"/>
        <v>10500000</v>
      </c>
      <c r="P74" s="107">
        <f>+P75+P81</f>
        <v>0</v>
      </c>
      <c r="Q74" s="107">
        <f>+Q75+Q81</f>
        <v>0</v>
      </c>
      <c r="R74" s="107">
        <f t="shared" ref="R74:T74" si="48">+R75+R81</f>
        <v>0</v>
      </c>
      <c r="S74" s="107">
        <f t="shared" si="48"/>
        <v>0</v>
      </c>
      <c r="T74" s="107">
        <f t="shared" si="48"/>
        <v>0</v>
      </c>
      <c r="U74" s="108">
        <f t="shared" si="46"/>
        <v>292994178</v>
      </c>
      <c r="V74" s="3989" t="s">
        <v>35</v>
      </c>
      <c r="W74" s="44"/>
    </row>
    <row r="75" spans="1:25" s="39" customFormat="1" ht="15" customHeight="1">
      <c r="A75" s="62" t="s">
        <v>36</v>
      </c>
      <c r="B75" s="70">
        <f t="shared" ref="B75:M75" si="49">SUM(B76:B80)</f>
        <v>279786</v>
      </c>
      <c r="C75" s="70">
        <f t="shared" si="49"/>
        <v>0</v>
      </c>
      <c r="D75" s="70">
        <f t="shared" si="49"/>
        <v>0</v>
      </c>
      <c r="E75" s="70">
        <f t="shared" si="49"/>
        <v>279786</v>
      </c>
      <c r="F75" s="70">
        <f t="shared" si="49"/>
        <v>2596431</v>
      </c>
      <c r="G75" s="70">
        <f t="shared" si="49"/>
        <v>10430330</v>
      </c>
      <c r="H75" s="70">
        <f t="shared" si="49"/>
        <v>5917833</v>
      </c>
      <c r="I75" s="70">
        <f>SUM(I76:I80)</f>
        <v>10202161</v>
      </c>
      <c r="J75" s="70">
        <f>SUM(J76:J80)</f>
        <v>47598149</v>
      </c>
      <c r="K75" s="1594">
        <f>SUM(K76:K80)</f>
        <v>18741608</v>
      </c>
      <c r="L75" s="70">
        <f t="shared" si="49"/>
        <v>49692879</v>
      </c>
      <c r="M75" s="70">
        <f t="shared" si="49"/>
        <v>23899729</v>
      </c>
      <c r="N75" s="70">
        <f t="shared" ref="N75:O75" si="50">SUM(N76:N80)</f>
        <v>10500000</v>
      </c>
      <c r="O75" s="70">
        <f t="shared" si="50"/>
        <v>10500000</v>
      </c>
      <c r="P75" s="102">
        <f>SUM(P76:P80)</f>
        <v>0</v>
      </c>
      <c r="Q75" s="102">
        <f>SUM(Q76:Q80)</f>
        <v>0</v>
      </c>
      <c r="R75" s="102">
        <f t="shared" ref="R75:T75" si="51">SUM(R76:R80)</f>
        <v>0</v>
      </c>
      <c r="S75" s="110">
        <f t="shared" si="51"/>
        <v>0</v>
      </c>
      <c r="T75" s="110">
        <f t="shared" si="51"/>
        <v>0</v>
      </c>
      <c r="U75" s="103">
        <f>SUM(U76:U80)</f>
        <v>142190757</v>
      </c>
      <c r="V75" s="3987"/>
      <c r="W75" s="31" t="s">
        <v>445</v>
      </c>
    </row>
    <row r="76" spans="1:25" s="39" customFormat="1" ht="15" customHeight="1">
      <c r="A76" s="54" t="s">
        <v>25</v>
      </c>
      <c r="B76" s="109">
        <f>+'Tab. 6A -Drogi'!E441+'Tab. 6C - Ochrona zdrowia'!E24</f>
        <v>0</v>
      </c>
      <c r="C76" s="109">
        <f>+'Tab. 6A -Drogi'!F441+'Tab. 6C - Ochrona zdrowia'!F24</f>
        <v>0</v>
      </c>
      <c r="D76" s="109">
        <f>+'Tab. 6A -Drogi'!G441+'Tab. 6C - Ochrona zdrowia'!G24</f>
        <v>0</v>
      </c>
      <c r="E76" s="109">
        <f>+'Tab. 6A -Drogi'!H441+'Tab. 6C - Ochrona zdrowia'!H24</f>
        <v>0</v>
      </c>
      <c r="F76" s="109">
        <f>+'Tab. 6A -Drogi'!I441+'Tab. 6C - Ochrona zdrowia'!I24</f>
        <v>0</v>
      </c>
      <c r="G76" s="72">
        <f>+'Tab. 6A -Drogi'!J441+'Tab. 6C - Ochrona zdrowia'!J24</f>
        <v>8065000</v>
      </c>
      <c r="H76" s="72">
        <f>+'Tab. 6A -Drogi'!K441+'Tab. 6C - Ochrona zdrowia'!K24</f>
        <v>1854955</v>
      </c>
      <c r="I76" s="72">
        <f>+'Tab. 6A -Drogi'!L441+'Tab. 6C - Ochrona zdrowia'!L24</f>
        <v>3882193</v>
      </c>
      <c r="J76" s="72">
        <f>+'Tab. 6C - Ochrona zdrowia'!M24</f>
        <v>23900058</v>
      </c>
      <c r="K76" s="1590">
        <f>+'Tab. 6C - Ochrona zdrowia'!N24</f>
        <v>10097910</v>
      </c>
      <c r="L76" s="72">
        <f>+'Tab. 6C - Ochrona zdrowia'!O24+'Tab. 6A -Drogi'!O442</f>
        <v>24216472</v>
      </c>
      <c r="M76" s="72">
        <f>+'Tab. 6C - Ochrona zdrowia'!P24+'Tab. 6A -Drogi'!P442</f>
        <v>6480895</v>
      </c>
      <c r="N76" s="109">
        <f>+'Tab. 6C - Ochrona zdrowia'!Q24+'Tab. 6A -Drogi'!Q442</f>
        <v>0</v>
      </c>
      <c r="O76" s="109">
        <f>+'Tab. 6C - Ochrona zdrowia'!R24+'Tab. 6A -Drogi'!R442</f>
        <v>0</v>
      </c>
      <c r="P76" s="109">
        <f>+'Tab. 6C - Ochrona zdrowia'!S24+'Tab. 6A -Drogi'!S442</f>
        <v>0</v>
      </c>
      <c r="Q76" s="109">
        <f>+'Tab. 6C - Ochrona zdrowia'!T24+'Tab. 6A -Drogi'!T442</f>
        <v>0</v>
      </c>
      <c r="R76" s="109"/>
      <c r="S76" s="1552"/>
      <c r="T76" s="1552"/>
      <c r="U76" s="1610">
        <f>J76+L76+M76+N76+O76+P76+Q76+R76+S76+T76</f>
        <v>54597425</v>
      </c>
      <c r="V76" s="3987"/>
      <c r="W76" s="31">
        <f>U76-U69</f>
        <v>0</v>
      </c>
    </row>
    <row r="77" spans="1:25" s="39" customFormat="1" ht="15" customHeight="1">
      <c r="A77" s="54" t="s">
        <v>27</v>
      </c>
      <c r="B77" s="72">
        <f>+'Tab. 6A -Drogi'!E443+'Tab. 6C - Ochrona zdrowia'!E25</f>
        <v>279786</v>
      </c>
      <c r="C77" s="72">
        <f>+'Tab. 6A -Drogi'!F443+'Tab. 6C - Ochrona zdrowia'!F25</f>
        <v>0</v>
      </c>
      <c r="D77" s="72">
        <f>+'Tab. 6A -Drogi'!G443+'Tab. 6C - Ochrona zdrowia'!G25</f>
        <v>0</v>
      </c>
      <c r="E77" s="72">
        <f>+'Tab. 6A -Drogi'!H443+'Tab. 6C - Ochrona zdrowia'!H25</f>
        <v>279786</v>
      </c>
      <c r="F77" s="72">
        <f>+'Tab. 6A -Drogi'!I443+'Tab. 6C - Ochrona zdrowia'!I25</f>
        <v>2494494</v>
      </c>
      <c r="G77" s="72">
        <f>+'Tab. 6A -Drogi'!J443+'Tab. 6C - Ochrona zdrowia'!J25</f>
        <v>2145000</v>
      </c>
      <c r="H77" s="72">
        <f>+'Tab. 6A -Drogi'!K443+'Tab. 6C - Ochrona zdrowia'!K25</f>
        <v>2717825</v>
      </c>
      <c r="I77" s="72">
        <f>+'Tab. 6A -Drogi'!L443+'Tab. 6C - Ochrona zdrowia'!L25</f>
        <v>4282896</v>
      </c>
      <c r="J77" s="72">
        <f>+'Tab. 6A -Drogi'!M443+'Tab. 6C - Ochrona zdrowia'!M25</f>
        <v>16415558</v>
      </c>
      <c r="K77" s="1590">
        <f>+'Tab. 6A -Drogi'!N443+'Tab. 6C - Ochrona zdrowia'!N25</f>
        <v>5065557</v>
      </c>
      <c r="L77" s="72">
        <f>+'Tab. 6A -Drogi'!O443+'Tab. 6C - Ochrona zdrowia'!O25</f>
        <v>2081313</v>
      </c>
      <c r="M77" s="72">
        <f>+'Tab. 6A -Drogi'!P443+'Tab. 6C - Ochrona zdrowia'!P25</f>
        <v>1398414</v>
      </c>
      <c r="N77" s="109">
        <f>+'Tab. 6A -Drogi'!Q443+'Tab. 6C - Ochrona zdrowia'!Q25</f>
        <v>0</v>
      </c>
      <c r="O77" s="109">
        <f>+'Tab. 6A -Drogi'!R443+'Tab. 6C - Ochrona zdrowia'!R25</f>
        <v>0</v>
      </c>
      <c r="P77" s="109">
        <f>+'Tab. 6A -Drogi'!S443+'Tab. 6C - Ochrona zdrowia'!S25</f>
        <v>0</v>
      </c>
      <c r="Q77" s="109">
        <f>+'Tab. 6A -Drogi'!T443+'Tab. 6C - Ochrona zdrowia'!T25</f>
        <v>0</v>
      </c>
      <c r="R77" s="109"/>
      <c r="S77" s="1552"/>
      <c r="T77" s="1552"/>
      <c r="U77" s="1610">
        <f>J77+L77+M77+N77+O77+P77+Q77+R77+S77+T77</f>
        <v>19895285</v>
      </c>
      <c r="V77" s="3987"/>
      <c r="W77" s="31">
        <f>U77-U68</f>
        <v>0</v>
      </c>
    </row>
    <row r="78" spans="1:25" s="39" customFormat="1" ht="15" customHeight="1">
      <c r="A78" s="54" t="s">
        <v>28</v>
      </c>
      <c r="B78" s="109">
        <f>+'Tab. 6A -Drogi'!E444+'Tab. 6G - Roln i ochrona środ.'!E196</f>
        <v>0</v>
      </c>
      <c r="C78" s="72">
        <f>+'Tab. 6A -Drogi'!F444+'Tab. 6G - Roln i ochrona środ.'!F196</f>
        <v>0</v>
      </c>
      <c r="D78" s="72">
        <f>+'Tab. 6A -Drogi'!G444+'Tab. 6G - Roln i ochrona środ.'!G196</f>
        <v>0</v>
      </c>
      <c r="E78" s="72">
        <f>+'Tab. 6A -Drogi'!H444+'Tab. 6G - Roln i ochrona środ.'!H196</f>
        <v>0</v>
      </c>
      <c r="F78" s="109">
        <f>+'Tab. 6A -Drogi'!I444+'Tab. 6G - Roln i ochrona środ.'!I196</f>
        <v>0</v>
      </c>
      <c r="G78" s="109">
        <f>+'Tab. 6A -Drogi'!J444+'Tab. 6G - Roln i ochrona środ.'!J196</f>
        <v>0</v>
      </c>
      <c r="H78" s="72">
        <f>+'Tab. 6A -Drogi'!K444+'Tab. 6G - Roln i ochrona środ.'!K196</f>
        <v>0</v>
      </c>
      <c r="I78" s="72">
        <f>+'Tab. 6A -Drogi'!L444+'Tab. 6G - Roln i ochrona środ.'!L196</f>
        <v>0</v>
      </c>
      <c r="J78" s="72">
        <f>+'Tab. 6A -Drogi'!M444+'Tab. 6G - Roln i ochrona środ.'!M196</f>
        <v>0</v>
      </c>
      <c r="K78" s="1590">
        <f>+'Tab. 6A -Drogi'!N444+'Tab. 6G - Roln i ochrona środ.'!N196+'Tab. 6H - Kultura fiz. i turyst'!N129</f>
        <v>0</v>
      </c>
      <c r="L78" s="72">
        <f>+'Tab. 6A -Drogi'!O444+'Tab. 6G - Roln i ochrona środ.'!O196+'Tab. 6H - Kultura fiz. i turyst'!O129</f>
        <v>0</v>
      </c>
      <c r="M78" s="72">
        <f>+'Tab. 6A -Drogi'!P444+'Tab. 6G - Roln i ochrona środ.'!P196+'Tab. 6H - Kultura fiz. i turyst'!P129</f>
        <v>0</v>
      </c>
      <c r="N78" s="109">
        <f>+'Tab. 6A -Drogi'!Q444+'Tab. 6G - Roln i ochrona środ.'!Q196+'Tab. 6H - Kultura fiz. i turyst'!Q129</f>
        <v>0</v>
      </c>
      <c r="O78" s="109">
        <f>+'Tab. 6A -Drogi'!R444+'Tab. 6G - Roln i ochrona środ.'!R196+'Tab. 6H - Kultura fiz. i turyst'!R129</f>
        <v>0</v>
      </c>
      <c r="P78" s="109">
        <f>+'Tab. 6A -Drogi'!S444+'Tab. 6G - Roln i ochrona środ.'!S196+'Tab. 6H - Kultura fiz. i turyst'!S129</f>
        <v>0</v>
      </c>
      <c r="Q78" s="109">
        <f>+'Tab. 6A -Drogi'!T444+'Tab. 6G - Roln i ochrona środ.'!T196+'Tab. 6H - Kultura fiz. i turyst'!T129</f>
        <v>0</v>
      </c>
      <c r="R78" s="109"/>
      <c r="S78" s="1552"/>
      <c r="T78" s="1552"/>
      <c r="U78" s="1610">
        <f>J78+L78+M78+N78+O78+P78+Q78+R78+S78+T78</f>
        <v>0</v>
      </c>
      <c r="V78" s="3987"/>
      <c r="W78" s="31">
        <f>U78-U65</f>
        <v>0</v>
      </c>
    </row>
    <row r="79" spans="1:25" s="39" customFormat="1" ht="27" customHeight="1">
      <c r="A79" s="51" t="s">
        <v>389</v>
      </c>
      <c r="B79" s="55">
        <f>+'Tab. 6F - Kultura'!E19+'Tab. 6D - Oświata'!E79</f>
        <v>0</v>
      </c>
      <c r="C79" s="52">
        <f>+'Tab. 6F - Kultura'!F19+'Tab. 6D - Oświata'!F79</f>
        <v>0</v>
      </c>
      <c r="D79" s="52">
        <f>+'Tab. 6F - Kultura'!G19+'Tab. 6D - Oświata'!G79</f>
        <v>0</v>
      </c>
      <c r="E79" s="52">
        <f>+'Tab. 6F - Kultura'!H19+'Tab. 6D - Oświata'!H79</f>
        <v>0</v>
      </c>
      <c r="F79" s="52">
        <f>+'Tab. 6F - Kultura'!I19+'Tab. 6D - Oświata'!I79</f>
        <v>101937</v>
      </c>
      <c r="G79" s="52">
        <f>+'Tab. 6F - Kultura'!J19+'Tab. 6D - Oświata'!J79</f>
        <v>220330</v>
      </c>
      <c r="H79" s="52">
        <f>+'Tab. 6F - Kultura'!K19+'Tab. 6D - Oświata'!K79</f>
        <v>1345053</v>
      </c>
      <c r="I79" s="52">
        <f>+'Tab. 6F - Kultura'!L19+'Tab. 6D - Oświata'!L79</f>
        <v>2037072</v>
      </c>
      <c r="J79" s="52">
        <f>+'Tab. 6F - Kultura'!M19+'Tab. 6D - Oświata'!M79</f>
        <v>7082533</v>
      </c>
      <c r="K79" s="1590">
        <f>+'Tab. 6F - Kultura'!N19+'Tab. 6D - Oświata'!N79</f>
        <v>3378141</v>
      </c>
      <c r="L79" s="52">
        <f>+'Tab. 6F - Kultura'!O19+'Tab. 6D - Oświata'!O79+'Tab. 6A -Drogi'!O441</f>
        <v>23248094</v>
      </c>
      <c r="M79" s="52">
        <f>+'Tab. 6F - Kultura'!P19+'Tab. 6D - Oświata'!P79+'Tab. 6A -Drogi'!P441</f>
        <v>16020420</v>
      </c>
      <c r="N79" s="52">
        <f>+'Tab. 6F - Kultura'!Q19+'Tab. 6D - Oświata'!Q79+'Tab. 6A -Drogi'!Q441</f>
        <v>10500000</v>
      </c>
      <c r="O79" s="52">
        <f>+'Tab. 6F - Kultura'!R19+'Tab. 6D - Oświata'!R79+'Tab. 6A -Drogi'!R441</f>
        <v>10500000</v>
      </c>
      <c r="P79" s="55">
        <f>+'Tab. 6F - Kultura'!S19+'Tab. 6D - Oświata'!S79</f>
        <v>0</v>
      </c>
      <c r="Q79" s="55">
        <f>+'Tab. 6F - Kultura'!T19+'Tab. 6D - Oświata'!T79</f>
        <v>0</v>
      </c>
      <c r="R79" s="55"/>
      <c r="S79" s="74"/>
      <c r="T79" s="74"/>
      <c r="U79" s="1610">
        <f>J79+L79+M79+N79+O79+P79+Q79+R79+S79+T79</f>
        <v>67351047</v>
      </c>
      <c r="V79" s="3987"/>
      <c r="W79" s="31"/>
    </row>
    <row r="80" spans="1:25" s="39" customFormat="1" ht="15" customHeight="1">
      <c r="A80" s="54" t="s">
        <v>26</v>
      </c>
      <c r="B80" s="109">
        <f>+'Tab. 6G - Roln i ochrona środ.'!E195</f>
        <v>0</v>
      </c>
      <c r="C80" s="72">
        <f>+'Tab. 6G - Roln i ochrona środ.'!F195</f>
        <v>0</v>
      </c>
      <c r="D80" s="72">
        <f>+'Tab. 6G - Roln i ochrona środ.'!G195</f>
        <v>0</v>
      </c>
      <c r="E80" s="72">
        <f>+'Tab. 6G - Roln i ochrona środ.'!H195</f>
        <v>0</v>
      </c>
      <c r="F80" s="109">
        <f>+'Tab. 6G - Roln i ochrona środ.'!I195</f>
        <v>0</v>
      </c>
      <c r="G80" s="109">
        <f>+'Tab. 6G - Roln i ochrona środ.'!J195</f>
        <v>0</v>
      </c>
      <c r="H80" s="72">
        <f>+'Tab. 6G - Roln i ochrona środ.'!K195</f>
        <v>0</v>
      </c>
      <c r="I80" s="109">
        <f>+'Tab. 6G - Roln i ochrona środ.'!L195</f>
        <v>0</v>
      </c>
      <c r="J80" s="72">
        <f>+'Tab. 6G - Roln i ochrona środ.'!M195+'Tab. 6E - Administracja'!M269</f>
        <v>200000</v>
      </c>
      <c r="K80" s="72">
        <f>+'Tab. 6G - Roln i ochrona środ.'!N195+'Tab. 6E - Administracja'!N269</f>
        <v>200000</v>
      </c>
      <c r="L80" s="72">
        <f>+'Tab. 6G - Roln i ochrona środ.'!O195+'Tab. 6E - Administracja'!O269</f>
        <v>147000</v>
      </c>
      <c r="M80" s="109">
        <f>+'Tab. 6G - Roln i ochrona środ.'!P195</f>
        <v>0</v>
      </c>
      <c r="N80" s="109">
        <f>+'Tab. 6G - Roln i ochrona środ.'!Q195</f>
        <v>0</v>
      </c>
      <c r="O80" s="109">
        <f>+'Tab. 6G - Roln i ochrona środ.'!R195</f>
        <v>0</v>
      </c>
      <c r="P80" s="109">
        <f>+'Tab. 6G - Roln i ochrona środ.'!S195</f>
        <v>0</v>
      </c>
      <c r="Q80" s="109">
        <f>+'Tab. 6G - Roln i ochrona środ.'!T195</f>
        <v>0</v>
      </c>
      <c r="R80" s="109"/>
      <c r="S80" s="1552"/>
      <c r="T80" s="1552"/>
      <c r="U80" s="1610">
        <f>J80+L80+M80+N80+O80+P80+Q80+R80+S80+T80</f>
        <v>347000</v>
      </c>
      <c r="V80" s="3987"/>
      <c r="W80" s="31">
        <f>U80-U71</f>
        <v>0</v>
      </c>
    </row>
    <row r="81" spans="1:24" s="39" customFormat="1" ht="14.25" customHeight="1">
      <c r="A81" s="62" t="s">
        <v>30</v>
      </c>
      <c r="B81" s="102">
        <f t="shared" ref="B81:Q81" si="52">SUM(B82:B82)</f>
        <v>0</v>
      </c>
      <c r="C81" s="75">
        <f t="shared" si="52"/>
        <v>0</v>
      </c>
      <c r="D81" s="75">
        <f t="shared" si="52"/>
        <v>0</v>
      </c>
      <c r="E81" s="75">
        <f t="shared" si="52"/>
        <v>0</v>
      </c>
      <c r="F81" s="75">
        <f t="shared" si="52"/>
        <v>15578755</v>
      </c>
      <c r="G81" s="75">
        <f t="shared" si="52"/>
        <v>8202545</v>
      </c>
      <c r="H81" s="75">
        <f t="shared" si="52"/>
        <v>7797185</v>
      </c>
      <c r="I81" s="75">
        <f t="shared" si="52"/>
        <v>4980208</v>
      </c>
      <c r="J81" s="75">
        <f t="shared" si="52"/>
        <v>63520492</v>
      </c>
      <c r="K81" s="1597">
        <f>+K82</f>
        <v>26961799</v>
      </c>
      <c r="L81" s="75">
        <f>+L82</f>
        <v>85093242</v>
      </c>
      <c r="M81" s="75">
        <f t="shared" si="52"/>
        <v>2189687</v>
      </c>
      <c r="N81" s="110">
        <f t="shared" si="52"/>
        <v>0</v>
      </c>
      <c r="O81" s="110">
        <f t="shared" si="52"/>
        <v>0</v>
      </c>
      <c r="P81" s="110">
        <f t="shared" si="52"/>
        <v>0</v>
      </c>
      <c r="Q81" s="110">
        <f t="shared" si="52"/>
        <v>0</v>
      </c>
      <c r="R81" s="102"/>
      <c r="S81" s="110"/>
      <c r="T81" s="110"/>
      <c r="U81" s="1611">
        <f>+U82</f>
        <v>150803421</v>
      </c>
      <c r="V81" s="3987"/>
      <c r="W81" s="31"/>
      <c r="X81" s="39" t="s">
        <v>49</v>
      </c>
    </row>
    <row r="82" spans="1:24" s="39" customFormat="1" ht="15.75" customHeight="1" thickBot="1">
      <c r="A82" s="79" t="s">
        <v>48</v>
      </c>
      <c r="B82" s="1541">
        <f>+'Tab. 6D - Oświata'!E81+'Tab. 6F - Kultura'!E21+'Tab. 6C - Ochrona zdrowia'!E27</f>
        <v>0</v>
      </c>
      <c r="C82" s="1542">
        <f>+'Tab. 6D - Oświata'!F81+'Tab. 6F - Kultura'!F21+'Tab. 6C - Ochrona zdrowia'!F27</f>
        <v>0</v>
      </c>
      <c r="D82" s="1542">
        <f>+'Tab. 6D - Oświata'!G81+'Tab. 6F - Kultura'!G21+'Tab. 6C - Ochrona zdrowia'!G27</f>
        <v>0</v>
      </c>
      <c r="E82" s="1542">
        <f>+'Tab. 6D - Oświata'!H81+'Tab. 6F - Kultura'!H21+'Tab. 6C - Ochrona zdrowia'!H27</f>
        <v>0</v>
      </c>
      <c r="F82" s="1542">
        <f>+'Tab. 6D - Oświata'!I81+'Tab. 6F - Kultura'!I21+'Tab. 6C - Ochrona zdrowia'!I27</f>
        <v>15578755</v>
      </c>
      <c r="G82" s="1542">
        <f>+'Tab. 6D - Oświata'!J81+'Tab. 6F - Kultura'!J21+'Tab. 6C - Ochrona zdrowia'!J27</f>
        <v>8202545</v>
      </c>
      <c r="H82" s="1542">
        <f>+'Tab. 6D - Oświata'!K81+'Tab. 6F - Kultura'!K21+'Tab. 6C - Ochrona zdrowia'!K27</f>
        <v>7797185</v>
      </c>
      <c r="I82" s="1542">
        <f>+'Tab. 6D - Oświata'!L81+'Tab. 6F - Kultura'!L21+'Tab. 6C - Ochrona zdrowia'!L27</f>
        <v>4980208</v>
      </c>
      <c r="J82" s="1542">
        <f>+'Tab. 6D - Oświata'!M81+'Tab. 6F - Kultura'!M21+'Tab. 6C - Ochrona zdrowia'!M27</f>
        <v>63520492</v>
      </c>
      <c r="K82" s="1605">
        <f>+'Tab. 6D - Oświata'!N81+'Tab. 6F - Kultura'!N21+'Tab. 6C - Ochrona zdrowia'!N27</f>
        <v>26961799</v>
      </c>
      <c r="L82" s="1542">
        <f>+'Tab. 6D - Oświata'!O81+'Tab. 6F - Kultura'!O21+'Tab. 6C - Ochrona zdrowia'!O27</f>
        <v>85093242</v>
      </c>
      <c r="M82" s="1542">
        <f>+'Tab. 6D - Oświata'!P81+'Tab. 6F - Kultura'!P21+'Tab. 6C - Ochrona zdrowia'!P27</f>
        <v>2189687</v>
      </c>
      <c r="N82" s="1541">
        <f>+'Tab. 6D - Oświata'!Q81+'Tab. 6F - Kultura'!Q21+'Tab. 6C - Ochrona zdrowia'!Q27</f>
        <v>0</v>
      </c>
      <c r="O82" s="1541">
        <f>+'Tab. 6D - Oświata'!R81+'Tab. 6F - Kultura'!R21+'Tab. 6C - Ochrona zdrowia'!R27</f>
        <v>0</v>
      </c>
      <c r="P82" s="1541">
        <f>+'Tab. 6D - Oświata'!S81+'Tab. 6F - Kultura'!S21+'Tab. 6C - Ochrona zdrowia'!S27</f>
        <v>0</v>
      </c>
      <c r="Q82" s="1541">
        <f>+'Tab. 6D - Oświata'!T81+'Tab. 6F - Kultura'!T21+'Tab. 6C - Ochrona zdrowia'!T27</f>
        <v>0</v>
      </c>
      <c r="R82" s="1553"/>
      <c r="S82" s="1554"/>
      <c r="T82" s="1554"/>
      <c r="U82" s="1543">
        <f>J82+L82+M82+N82+O82+P82+Q82+R82+S82+T82</f>
        <v>150803421</v>
      </c>
      <c r="V82" s="3990"/>
      <c r="W82" s="31"/>
      <c r="X82" s="53"/>
    </row>
    <row r="83" spans="1:24" s="39" customFormat="1" ht="9.75" customHeight="1" thickBot="1">
      <c r="A83" s="80"/>
      <c r="B83" s="37"/>
      <c r="C83" s="37"/>
      <c r="D83" s="37"/>
      <c r="E83" s="37"/>
      <c r="F83" s="81"/>
      <c r="G83" s="37"/>
      <c r="H83" s="37"/>
      <c r="I83" s="37"/>
      <c r="J83" s="37"/>
      <c r="K83" s="1587"/>
      <c r="L83" s="37"/>
      <c r="M83" s="37"/>
      <c r="N83" s="37"/>
      <c r="O83" s="37"/>
      <c r="P83" s="37"/>
      <c r="Q83" s="37"/>
      <c r="R83" s="89"/>
      <c r="S83" s="81"/>
      <c r="T83" s="81"/>
      <c r="U83" s="38"/>
      <c r="V83" s="38"/>
      <c r="W83" s="31"/>
    </row>
    <row r="84" spans="1:24" s="46" customFormat="1" ht="18" customHeight="1" thickBot="1">
      <c r="A84" s="111" t="s">
        <v>39</v>
      </c>
      <c r="B84" s="112">
        <f t="shared" ref="B84:O84" si="53">+B62-B70-B72-B66</f>
        <v>11141507</v>
      </c>
      <c r="C84" s="113">
        <f t="shared" si="53"/>
        <v>0</v>
      </c>
      <c r="D84" s="113">
        <f t="shared" si="53"/>
        <v>5327000</v>
      </c>
      <c r="E84" s="113">
        <f t="shared" si="53"/>
        <v>5568560.0600000005</v>
      </c>
      <c r="F84" s="112">
        <f t="shared" si="53"/>
        <v>10946454</v>
      </c>
      <c r="G84" s="112">
        <f t="shared" si="53"/>
        <v>60752143</v>
      </c>
      <c r="H84" s="112">
        <f t="shared" si="53"/>
        <v>63850544</v>
      </c>
      <c r="I84" s="112">
        <f t="shared" si="53"/>
        <v>140670244</v>
      </c>
      <c r="J84" s="112">
        <f>+J62-J70-J72-J66</f>
        <v>461400089</v>
      </c>
      <c r="K84" s="1599">
        <f>+K62-K70-K72-K66</f>
        <v>174039197</v>
      </c>
      <c r="L84" s="112">
        <f>+L62-L70-L72-L66</f>
        <v>183837617</v>
      </c>
      <c r="M84" s="112">
        <f>+M62-M70-M72-M66</f>
        <v>147067821.63999999</v>
      </c>
      <c r="N84" s="112">
        <f t="shared" si="53"/>
        <v>134835896</v>
      </c>
      <c r="O84" s="114">
        <f t="shared" si="53"/>
        <v>129270431</v>
      </c>
      <c r="P84" s="114">
        <f t="shared" ref="P84:Q84" si="54">+P62-P70-P72-P66</f>
        <v>89151098</v>
      </c>
      <c r="Q84" s="114">
        <f t="shared" si="54"/>
        <v>82634047</v>
      </c>
      <c r="R84" s="114">
        <f t="shared" ref="R84:T84" si="55">+R62-R70-R72-R66</f>
        <v>1999047</v>
      </c>
      <c r="S84" s="112">
        <f t="shared" si="55"/>
        <v>1859047</v>
      </c>
      <c r="T84" s="112">
        <f t="shared" si="55"/>
        <v>919047</v>
      </c>
      <c r="U84" s="115">
        <f>SUM(L84:T84)+J84+2514288+1050002</f>
        <v>1236538430.6399999</v>
      </c>
      <c r="V84" s="116">
        <f>M84+N84+O84+P84+Q84+R84+S84+T84+2514288+1050002</f>
        <v>591300724.63999999</v>
      </c>
      <c r="W84" s="44">
        <f>M84+N84+O84+P84+Q84+R84+S84+T84+W85-V84</f>
        <v>0</v>
      </c>
      <c r="X84" s="45">
        <f>U64+U65+U67+U68+U69+U71-U84</f>
        <v>0</v>
      </c>
    </row>
    <row r="85" spans="1:24" s="46" customFormat="1" ht="18" customHeight="1" thickBot="1">
      <c r="A85" s="111" t="s">
        <v>40</v>
      </c>
      <c r="B85" s="117">
        <f t="shared" ref="B85:I85" si="56">+B74-B81</f>
        <v>279786</v>
      </c>
      <c r="C85" s="118">
        <f t="shared" si="56"/>
        <v>0</v>
      </c>
      <c r="D85" s="118">
        <f t="shared" si="56"/>
        <v>0</v>
      </c>
      <c r="E85" s="118">
        <f t="shared" si="56"/>
        <v>279786</v>
      </c>
      <c r="F85" s="117">
        <f t="shared" si="56"/>
        <v>2596431</v>
      </c>
      <c r="G85" s="117">
        <f t="shared" si="56"/>
        <v>10430330</v>
      </c>
      <c r="H85" s="117">
        <f t="shared" si="56"/>
        <v>5917833</v>
      </c>
      <c r="I85" s="117">
        <f t="shared" si="56"/>
        <v>10202161</v>
      </c>
      <c r="J85" s="117">
        <f t="shared" ref="J85" si="57">+J74-J81</f>
        <v>47598149</v>
      </c>
      <c r="K85" s="1600">
        <f>+K74-K82</f>
        <v>18741608</v>
      </c>
      <c r="L85" s="117">
        <f>+L74-L82</f>
        <v>49692879</v>
      </c>
      <c r="M85" s="117">
        <f>+M74-M81</f>
        <v>23899729</v>
      </c>
      <c r="N85" s="117">
        <f>+N74-N81</f>
        <v>10500000</v>
      </c>
      <c r="O85" s="119">
        <f>+O74-O81</f>
        <v>10500000</v>
      </c>
      <c r="P85" s="119">
        <f t="shared" ref="P85:Q85" si="58">+P74-P81</f>
        <v>0</v>
      </c>
      <c r="Q85" s="119">
        <f t="shared" si="58"/>
        <v>0</v>
      </c>
      <c r="R85" s="119">
        <f t="shared" ref="R85:T85" si="59">+R74-R81</f>
        <v>0</v>
      </c>
      <c r="S85" s="117">
        <f t="shared" si="59"/>
        <v>0</v>
      </c>
      <c r="T85" s="117">
        <f t="shared" si="59"/>
        <v>0</v>
      </c>
      <c r="U85" s="115">
        <f>SUM(L85:T85)+J85</f>
        <v>142190757</v>
      </c>
      <c r="V85" s="120" t="s">
        <v>35</v>
      </c>
      <c r="W85" s="44">
        <f>'Tab. 6C - Ochrona zdrowia'!Z119+'Tab. 6C - Ochrona zdrowia'!Z129</f>
        <v>3564290</v>
      </c>
      <c r="X85" s="46" t="s">
        <v>451</v>
      </c>
    </row>
    <row r="86" spans="1:24" s="124" customFormat="1" ht="15" customHeight="1" thickBot="1">
      <c r="A86" s="121"/>
      <c r="B86" s="122">
        <f t="shared" ref="B86:I86" si="60">+B64+B65+B67+B68+B69+B71-B58</f>
        <v>0</v>
      </c>
      <c r="C86" s="122">
        <f t="shared" si="60"/>
        <v>0</v>
      </c>
      <c r="D86" s="122">
        <f t="shared" si="60"/>
        <v>0</v>
      </c>
      <c r="E86" s="122">
        <f t="shared" si="60"/>
        <v>0</v>
      </c>
      <c r="F86" s="122">
        <f t="shared" si="60"/>
        <v>0</v>
      </c>
      <c r="G86" s="122">
        <f t="shared" si="60"/>
        <v>0</v>
      </c>
      <c r="H86" s="122">
        <f t="shared" si="60"/>
        <v>-1341</v>
      </c>
      <c r="I86" s="122">
        <f t="shared" si="60"/>
        <v>-11218</v>
      </c>
      <c r="J86" s="122"/>
      <c r="K86" s="1606"/>
      <c r="L86" s="122"/>
      <c r="M86" s="122"/>
      <c r="N86" s="122"/>
      <c r="O86" s="122"/>
      <c r="P86" s="122"/>
      <c r="Q86" s="122"/>
      <c r="R86" s="122"/>
      <c r="S86" s="122"/>
      <c r="T86" s="122"/>
      <c r="U86" s="122"/>
      <c r="V86" s="122"/>
      <c r="W86" s="123"/>
    </row>
    <row r="87" spans="1:24" s="124" customFormat="1" ht="18" customHeight="1" thickBot="1">
      <c r="A87" s="125" t="s">
        <v>50</v>
      </c>
      <c r="B87" s="126">
        <f>B88+B89</f>
        <v>55086699</v>
      </c>
      <c r="C87" s="126">
        <f t="shared" ref="C87:U87" si="61">C88+C89</f>
        <v>2134685</v>
      </c>
      <c r="D87" s="126">
        <f t="shared" si="61"/>
        <v>15427454</v>
      </c>
      <c r="E87" s="126">
        <f t="shared" si="61"/>
        <v>42196612.060000002</v>
      </c>
      <c r="F87" s="126">
        <f t="shared" si="61"/>
        <v>73740947.299999997</v>
      </c>
      <c r="G87" s="126">
        <f t="shared" si="61"/>
        <v>158578594.30000001</v>
      </c>
      <c r="H87" s="126">
        <f t="shared" si="61"/>
        <v>212732099</v>
      </c>
      <c r="I87" s="126">
        <f>I88+I89</f>
        <v>349523341</v>
      </c>
      <c r="J87" s="126">
        <f>J88+J89</f>
        <v>1308525750</v>
      </c>
      <c r="K87" s="1607">
        <f t="shared" si="61"/>
        <v>459656887</v>
      </c>
      <c r="L87" s="126">
        <f>L88+L89</f>
        <v>403995817</v>
      </c>
      <c r="M87" s="126">
        <f t="shared" si="61"/>
        <v>325004484.63999999</v>
      </c>
      <c r="N87" s="126">
        <f t="shared" si="61"/>
        <v>386139270</v>
      </c>
      <c r="O87" s="126">
        <f t="shared" si="61"/>
        <v>316708902</v>
      </c>
      <c r="P87" s="126">
        <f t="shared" ref="P87:Q87" si="62">P88+P89</f>
        <v>163811344</v>
      </c>
      <c r="Q87" s="126">
        <f t="shared" si="62"/>
        <v>135386278</v>
      </c>
      <c r="R87" s="126">
        <f t="shared" ref="R87:T87" si="63">R88+R89</f>
        <v>38655180</v>
      </c>
      <c r="S87" s="126">
        <f t="shared" si="63"/>
        <v>35982384</v>
      </c>
      <c r="T87" s="126">
        <f t="shared" si="63"/>
        <v>35207269</v>
      </c>
      <c r="U87" s="127">
        <f t="shared" si="61"/>
        <v>3152980968.6399999</v>
      </c>
      <c r="V87" s="128">
        <f t="shared" ref="V87" si="64">V88+V89</f>
        <v>1440459401.6399999</v>
      </c>
      <c r="W87" s="123"/>
    </row>
    <row r="88" spans="1:24" s="124" customFormat="1" ht="18" customHeight="1" thickTop="1">
      <c r="A88" s="129" t="s">
        <v>51</v>
      </c>
      <c r="B88" s="130">
        <f t="shared" ref="B88:V88" si="65">B13+B59</f>
        <v>28720724</v>
      </c>
      <c r="C88" s="130">
        <f t="shared" si="65"/>
        <v>2029750</v>
      </c>
      <c r="D88" s="130">
        <f t="shared" si="65"/>
        <v>9690079</v>
      </c>
      <c r="E88" s="130">
        <f t="shared" si="65"/>
        <v>19216944</v>
      </c>
      <c r="F88" s="130">
        <f t="shared" si="65"/>
        <v>35351195.299999997</v>
      </c>
      <c r="G88" s="130">
        <f t="shared" si="65"/>
        <v>44124906.299999997</v>
      </c>
      <c r="H88" s="130">
        <f t="shared" si="65"/>
        <v>53179486</v>
      </c>
      <c r="I88" s="130">
        <f t="shared" si="65"/>
        <v>146216160</v>
      </c>
      <c r="J88" s="130">
        <f t="shared" si="65"/>
        <v>466818477</v>
      </c>
      <c r="K88" s="1608">
        <f t="shared" si="65"/>
        <v>160018823</v>
      </c>
      <c r="L88" s="130">
        <f t="shared" si="65"/>
        <v>159379054</v>
      </c>
      <c r="M88" s="130">
        <f t="shared" si="65"/>
        <v>174190535.63999999</v>
      </c>
      <c r="N88" s="130">
        <f t="shared" si="65"/>
        <v>178247548</v>
      </c>
      <c r="O88" s="130">
        <f t="shared" si="65"/>
        <v>170133273</v>
      </c>
      <c r="P88" s="130">
        <f t="shared" si="65"/>
        <v>126950519</v>
      </c>
      <c r="Q88" s="130">
        <f t="shared" si="65"/>
        <v>119388553</v>
      </c>
      <c r="R88" s="130">
        <f t="shared" si="65"/>
        <v>38488155</v>
      </c>
      <c r="S88" s="130">
        <f t="shared" si="65"/>
        <v>35815359</v>
      </c>
      <c r="T88" s="130">
        <f t="shared" si="65"/>
        <v>35040244</v>
      </c>
      <c r="U88" s="131">
        <f t="shared" si="65"/>
        <v>1508016007.6399999</v>
      </c>
      <c r="V88" s="132">
        <f t="shared" si="65"/>
        <v>881818476.63999999</v>
      </c>
      <c r="W88" s="123"/>
    </row>
    <row r="89" spans="1:24" s="124" customFormat="1" ht="18" customHeight="1">
      <c r="A89" s="129" t="s">
        <v>52</v>
      </c>
      <c r="B89" s="130">
        <f t="shared" ref="B89:V89" si="66">B14+B60</f>
        <v>26365975</v>
      </c>
      <c r="C89" s="130">
        <f t="shared" si="66"/>
        <v>104935</v>
      </c>
      <c r="D89" s="130">
        <f t="shared" si="66"/>
        <v>5737375</v>
      </c>
      <c r="E89" s="130">
        <f t="shared" si="66"/>
        <v>22979668.060000002</v>
      </c>
      <c r="F89" s="130">
        <f t="shared" si="66"/>
        <v>38389752</v>
      </c>
      <c r="G89" s="130">
        <f t="shared" si="66"/>
        <v>114453688</v>
      </c>
      <c r="H89" s="130">
        <f t="shared" si="66"/>
        <v>159552613</v>
      </c>
      <c r="I89" s="130">
        <f t="shared" si="66"/>
        <v>203307181</v>
      </c>
      <c r="J89" s="130">
        <f t="shared" si="66"/>
        <v>841707273</v>
      </c>
      <c r="K89" s="1608">
        <f t="shared" si="66"/>
        <v>299638064</v>
      </c>
      <c r="L89" s="130">
        <f t="shared" si="66"/>
        <v>244616763</v>
      </c>
      <c r="M89" s="130">
        <f t="shared" si="66"/>
        <v>150813949</v>
      </c>
      <c r="N89" s="130">
        <f t="shared" si="66"/>
        <v>207891722</v>
      </c>
      <c r="O89" s="130">
        <f t="shared" si="66"/>
        <v>146575629</v>
      </c>
      <c r="P89" s="130">
        <f t="shared" si="66"/>
        <v>36860825</v>
      </c>
      <c r="Q89" s="130">
        <f t="shared" si="66"/>
        <v>15997725</v>
      </c>
      <c r="R89" s="130">
        <f t="shared" si="66"/>
        <v>167025</v>
      </c>
      <c r="S89" s="130">
        <f t="shared" si="66"/>
        <v>167025</v>
      </c>
      <c r="T89" s="130">
        <f t="shared" si="66"/>
        <v>167025</v>
      </c>
      <c r="U89" s="131">
        <f t="shared" si="66"/>
        <v>1644964961</v>
      </c>
      <c r="V89" s="132">
        <f t="shared" si="66"/>
        <v>558640925</v>
      </c>
      <c r="W89" s="123"/>
    </row>
    <row r="90" spans="1:24" s="124" customFormat="1" ht="18" customHeight="1" thickBot="1">
      <c r="A90" s="133" t="s">
        <v>53</v>
      </c>
      <c r="B90" s="134" t="e">
        <f t="shared" ref="B90:O90" si="67">B48+B85</f>
        <v>#REF!</v>
      </c>
      <c r="C90" s="134" t="e">
        <f t="shared" si="67"/>
        <v>#REF!</v>
      </c>
      <c r="D90" s="134" t="e">
        <f t="shared" si="67"/>
        <v>#REF!</v>
      </c>
      <c r="E90" s="134" t="e">
        <f t="shared" si="67"/>
        <v>#REF!</v>
      </c>
      <c r="F90" s="134" t="e">
        <f t="shared" si="67"/>
        <v>#REF!</v>
      </c>
      <c r="G90" s="134" t="e">
        <f t="shared" si="67"/>
        <v>#REF!</v>
      </c>
      <c r="H90" s="134" t="e">
        <f t="shared" si="67"/>
        <v>#REF!</v>
      </c>
      <c r="I90" s="134" t="e">
        <f t="shared" si="67"/>
        <v>#REF!</v>
      </c>
      <c r="J90" s="134">
        <f>J48+J85</f>
        <v>830267063</v>
      </c>
      <c r="K90" s="1609">
        <f t="shared" si="67"/>
        <v>288394561</v>
      </c>
      <c r="L90" s="134">
        <f t="shared" si="67"/>
        <v>273247891</v>
      </c>
      <c r="M90" s="134">
        <f t="shared" si="67"/>
        <v>199453099</v>
      </c>
      <c r="N90" s="134">
        <f t="shared" si="67"/>
        <v>239155478</v>
      </c>
      <c r="O90" s="134">
        <f t="shared" si="67"/>
        <v>178818958</v>
      </c>
      <c r="P90" s="134">
        <f t="shared" ref="P90:Q90" si="68">P48+P85</f>
        <v>67493975</v>
      </c>
      <c r="Q90" s="134">
        <f t="shared" si="68"/>
        <v>45534748</v>
      </c>
      <c r="R90" s="134">
        <f t="shared" ref="R90:T90" si="69">R48+R85</f>
        <v>30574519</v>
      </c>
      <c r="S90" s="134">
        <f t="shared" si="69"/>
        <v>30240549</v>
      </c>
      <c r="T90" s="134">
        <f t="shared" si="69"/>
        <v>30342746</v>
      </c>
      <c r="U90" s="134">
        <f>U48+U85</f>
        <v>1925129026</v>
      </c>
      <c r="V90" s="135" t="s">
        <v>35</v>
      </c>
      <c r="W90" s="123">
        <f>'Tab. 6A -Drogi'!D23+'Tab. 6A -Drogi'!D439+'Tab. 6B Polit społ i rozwój prz'!D17+'Tab. 6C - Ochrona zdrowia'!D23+'Tab. 6D - Oświata'!D18+'Tab. 6E - Administracja'!D21+'Tab. 6E - Administracja'!D251+'Tab. 6F - Kultura'!D19+'Tab. 6G - Roln i ochrona środ.'!D23+'Tab. 6G - Roln i ochrona środ.'!D191+'Tab. 6H - Kultura fiz. i turyst'!D17+'Tab.6I - Planow. przestrz.'!D17</f>
        <v>1925129026</v>
      </c>
      <c r="X90" s="124" t="s">
        <v>446</v>
      </c>
    </row>
    <row r="91" spans="1:24" s="124" customFormat="1" ht="18.75" customHeight="1" thickTop="1">
      <c r="A91" s="129" t="s">
        <v>54</v>
      </c>
      <c r="B91" s="130">
        <f>B97+B101</f>
        <v>22127017</v>
      </c>
      <c r="C91" s="130">
        <f t="shared" ref="C91:O92" si="70">C97+C101</f>
        <v>288513</v>
      </c>
      <c r="D91" s="130">
        <f t="shared" si="70"/>
        <v>6919444</v>
      </c>
      <c r="E91" s="130">
        <f t="shared" si="70"/>
        <v>17624011</v>
      </c>
      <c r="F91" s="130">
        <f t="shared" si="70"/>
        <v>34699485</v>
      </c>
      <c r="G91" s="130">
        <f t="shared" si="70"/>
        <v>28923771</v>
      </c>
      <c r="H91" s="130">
        <f>H97+H101</f>
        <v>35918841</v>
      </c>
      <c r="I91" s="130">
        <f t="shared" si="70"/>
        <v>41170817</v>
      </c>
      <c r="J91" s="130">
        <f>J97+J101</f>
        <v>222432960</v>
      </c>
      <c r="K91" s="1608">
        <f>K97+K101</f>
        <v>60260722</v>
      </c>
      <c r="L91" s="130">
        <f>L97+L101</f>
        <v>64100316</v>
      </c>
      <c r="M91" s="130">
        <f t="shared" si="70"/>
        <v>57408320</v>
      </c>
      <c r="N91" s="130">
        <f t="shared" si="70"/>
        <v>53989688</v>
      </c>
      <c r="O91" s="130">
        <f t="shared" si="70"/>
        <v>50447433</v>
      </c>
      <c r="P91" s="130">
        <f t="shared" ref="P91:Q91" si="71">P97+P101</f>
        <v>35147750</v>
      </c>
      <c r="Q91" s="130">
        <f t="shared" si="71"/>
        <v>31862223</v>
      </c>
      <c r="R91" s="130">
        <f t="shared" ref="R91:T91" si="72">R97+R101</f>
        <v>30407494</v>
      </c>
      <c r="S91" s="130">
        <f t="shared" si="72"/>
        <v>30073524</v>
      </c>
      <c r="T91" s="130">
        <f t="shared" si="72"/>
        <v>30175721</v>
      </c>
      <c r="U91" s="130">
        <f>U97+U101</f>
        <v>606045429</v>
      </c>
      <c r="V91" s="137" t="s">
        <v>35</v>
      </c>
      <c r="W91" s="1413">
        <f>U90-W90</f>
        <v>0</v>
      </c>
    </row>
    <row r="92" spans="1:24" s="124" customFormat="1" ht="16.5" customHeight="1" thickBot="1">
      <c r="A92" s="1936" t="s">
        <v>55</v>
      </c>
      <c r="B92" s="1937">
        <f>B98+B102</f>
        <v>14875353</v>
      </c>
      <c r="C92" s="1937">
        <f t="shared" si="70"/>
        <v>0</v>
      </c>
      <c r="D92" s="1937">
        <f t="shared" si="70"/>
        <v>0</v>
      </c>
      <c r="E92" s="1937">
        <f t="shared" si="70"/>
        <v>16912843</v>
      </c>
      <c r="F92" s="1937">
        <f t="shared" si="70"/>
        <v>27320048</v>
      </c>
      <c r="G92" s="1937">
        <f t="shared" si="70"/>
        <v>72614143</v>
      </c>
      <c r="H92" s="1937">
        <f>H98+H102</f>
        <v>114977638</v>
      </c>
      <c r="I92" s="1937">
        <f>I98+I102</f>
        <v>150483081</v>
      </c>
      <c r="J92" s="1937">
        <f>J98+J102</f>
        <v>607834103</v>
      </c>
      <c r="K92" s="1938">
        <f t="shared" si="70"/>
        <v>228133839</v>
      </c>
      <c r="L92" s="1937">
        <f t="shared" si="70"/>
        <v>209147575</v>
      </c>
      <c r="M92" s="1937">
        <f t="shared" si="70"/>
        <v>142044779</v>
      </c>
      <c r="N92" s="1937">
        <f t="shared" si="70"/>
        <v>185165790</v>
      </c>
      <c r="O92" s="1937">
        <f t="shared" si="70"/>
        <v>128371525</v>
      </c>
      <c r="P92" s="1937">
        <f t="shared" ref="P92:Q92" si="73">P98+P102</f>
        <v>32346225</v>
      </c>
      <c r="Q92" s="1937">
        <f t="shared" si="73"/>
        <v>13672525</v>
      </c>
      <c r="R92" s="1937">
        <f t="shared" ref="R92:T92" si="74">R98+R102</f>
        <v>167025</v>
      </c>
      <c r="S92" s="1937">
        <f t="shared" si="74"/>
        <v>167025</v>
      </c>
      <c r="T92" s="1937">
        <f t="shared" si="74"/>
        <v>167025</v>
      </c>
      <c r="U92" s="1937">
        <f>U98+U102</f>
        <v>1319083597</v>
      </c>
      <c r="V92" s="1939" t="s">
        <v>35</v>
      </c>
      <c r="W92" s="1413">
        <f>W90-U96-U100</f>
        <v>0</v>
      </c>
    </row>
    <row r="93" spans="1:24" s="124" customFormat="1" ht="18" customHeight="1">
      <c r="A93" s="138" t="s">
        <v>56</v>
      </c>
      <c r="B93" s="139" t="e">
        <f>B91+B92-B90</f>
        <v>#REF!</v>
      </c>
      <c r="C93" s="139" t="e">
        <f t="shared" ref="C93:T93" si="75">C91+C92-C90</f>
        <v>#REF!</v>
      </c>
      <c r="D93" s="139" t="e">
        <f t="shared" si="75"/>
        <v>#REF!</v>
      </c>
      <c r="E93" s="139" t="e">
        <f t="shared" si="75"/>
        <v>#REF!</v>
      </c>
      <c r="F93" s="139" t="e">
        <f t="shared" si="75"/>
        <v>#REF!</v>
      </c>
      <c r="G93" s="139" t="e">
        <f t="shared" si="75"/>
        <v>#REF!</v>
      </c>
      <c r="H93" s="139" t="e">
        <f>H91+H92-H90</f>
        <v>#REF!</v>
      </c>
      <c r="I93" s="139" t="e">
        <f>I91+I92-I90</f>
        <v>#REF!</v>
      </c>
      <c r="J93" s="139">
        <f>J91+J92-J90</f>
        <v>0</v>
      </c>
      <c r="K93" s="139">
        <f t="shared" si="75"/>
        <v>0</v>
      </c>
      <c r="L93" s="139">
        <f>L91+L92-L90</f>
        <v>0</v>
      </c>
      <c r="M93" s="139">
        <f>M91+M92-M90</f>
        <v>0</v>
      </c>
      <c r="N93" s="139">
        <f t="shared" si="75"/>
        <v>0</v>
      </c>
      <c r="O93" s="139">
        <f t="shared" si="75"/>
        <v>0</v>
      </c>
      <c r="P93" s="139">
        <f t="shared" si="75"/>
        <v>0</v>
      </c>
      <c r="Q93" s="139">
        <f t="shared" si="75"/>
        <v>0</v>
      </c>
      <c r="R93" s="139">
        <f t="shared" si="75"/>
        <v>0</v>
      </c>
      <c r="S93" s="139">
        <f t="shared" si="75"/>
        <v>0</v>
      </c>
      <c r="T93" s="139">
        <f t="shared" si="75"/>
        <v>0</v>
      </c>
      <c r="U93" s="139">
        <f>U91+U92-U90</f>
        <v>0</v>
      </c>
      <c r="V93" s="123"/>
      <c r="W93" s="123"/>
    </row>
    <row r="94" spans="1:24" s="124" customFormat="1" ht="11.25" customHeight="1">
      <c r="A94" s="140"/>
      <c r="B94" s="139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  <c r="O94" s="139"/>
      <c r="P94" s="139"/>
      <c r="Q94" s="139"/>
      <c r="R94" s="139"/>
      <c r="S94" s="139"/>
      <c r="T94" s="139"/>
      <c r="U94" s="139"/>
      <c r="V94" s="123"/>
      <c r="W94" s="123"/>
    </row>
    <row r="95" spans="1:24" s="124" customFormat="1" ht="18" customHeight="1" thickBot="1">
      <c r="A95" s="141" t="s">
        <v>57</v>
      </c>
      <c r="B95" s="142" t="e">
        <f t="shared" ref="B95:O95" si="76">B31-B96</f>
        <v>#REF!</v>
      </c>
      <c r="C95" s="142" t="e">
        <f t="shared" si="76"/>
        <v>#REF!</v>
      </c>
      <c r="D95" s="142" t="e">
        <f t="shared" si="76"/>
        <v>#REF!</v>
      </c>
      <c r="E95" s="142" t="e">
        <f t="shared" si="76"/>
        <v>#REF!</v>
      </c>
      <c r="F95" s="142" t="e">
        <f t="shared" si="76"/>
        <v>#REF!</v>
      </c>
      <c r="G95" s="142" t="e">
        <f t="shared" si="76"/>
        <v>#REF!</v>
      </c>
      <c r="H95" s="142" t="e">
        <f t="shared" si="76"/>
        <v>#REF!</v>
      </c>
      <c r="I95" s="142" t="e">
        <f t="shared" si="76"/>
        <v>#REF!</v>
      </c>
      <c r="J95" s="142">
        <f t="shared" ref="J95" si="77">J31-J96</f>
        <v>0</v>
      </c>
      <c r="K95" s="142">
        <f t="shared" si="76"/>
        <v>0</v>
      </c>
      <c r="L95" s="142">
        <f t="shared" si="76"/>
        <v>0</v>
      </c>
      <c r="M95" s="142">
        <f t="shared" si="76"/>
        <v>0</v>
      </c>
      <c r="N95" s="142">
        <f t="shared" si="76"/>
        <v>0</v>
      </c>
      <c r="O95" s="142">
        <f t="shared" si="76"/>
        <v>0</v>
      </c>
      <c r="P95" s="142">
        <f t="shared" ref="P95:T95" si="78">P31-P96</f>
        <v>0</v>
      </c>
      <c r="Q95" s="142">
        <f t="shared" si="78"/>
        <v>0</v>
      </c>
      <c r="R95" s="142">
        <f t="shared" si="78"/>
        <v>0</v>
      </c>
      <c r="S95" s="142">
        <f t="shared" si="78"/>
        <v>0</v>
      </c>
      <c r="T95" s="142">
        <f t="shared" si="78"/>
        <v>0</v>
      </c>
      <c r="U95" s="142">
        <f>+U96+U100</f>
        <v>1925129026</v>
      </c>
      <c r="V95" s="123"/>
      <c r="W95" s="123"/>
    </row>
    <row r="96" spans="1:24" s="124" customFormat="1" ht="18" customHeight="1" thickBot="1">
      <c r="A96" s="143" t="s">
        <v>58</v>
      </c>
      <c r="B96" s="144">
        <f t="shared" ref="B96:U96" si="79">B97+B98</f>
        <v>36722584</v>
      </c>
      <c r="C96" s="144">
        <f t="shared" si="79"/>
        <v>288513</v>
      </c>
      <c r="D96" s="144">
        <f t="shared" si="79"/>
        <v>6919444</v>
      </c>
      <c r="E96" s="144">
        <f t="shared" si="79"/>
        <v>34257068</v>
      </c>
      <c r="F96" s="144">
        <f t="shared" si="79"/>
        <v>59423102</v>
      </c>
      <c r="G96" s="144">
        <f t="shared" si="79"/>
        <v>91107584</v>
      </c>
      <c r="H96" s="144">
        <f t="shared" si="79"/>
        <v>144978646</v>
      </c>
      <c r="I96" s="144">
        <f t="shared" si="79"/>
        <v>181451737</v>
      </c>
      <c r="J96" s="144">
        <f t="shared" si="79"/>
        <v>782668914</v>
      </c>
      <c r="K96" s="144">
        <f t="shared" si="79"/>
        <v>269652953</v>
      </c>
      <c r="L96" s="144">
        <f t="shared" si="79"/>
        <v>223555012</v>
      </c>
      <c r="M96" s="144">
        <f t="shared" si="79"/>
        <v>175553370</v>
      </c>
      <c r="N96" s="144">
        <f t="shared" si="79"/>
        <v>228655478</v>
      </c>
      <c r="O96" s="144">
        <f t="shared" si="79"/>
        <v>168318958</v>
      </c>
      <c r="P96" s="144">
        <f t="shared" ref="P96:Q96" si="80">P97+P98</f>
        <v>67493975</v>
      </c>
      <c r="Q96" s="144">
        <f t="shared" si="80"/>
        <v>45534748</v>
      </c>
      <c r="R96" s="144">
        <f t="shared" ref="R96:T96" si="81">R97+R98</f>
        <v>30574519</v>
      </c>
      <c r="S96" s="144">
        <f t="shared" si="81"/>
        <v>30240549</v>
      </c>
      <c r="T96" s="144">
        <f t="shared" si="81"/>
        <v>30342746</v>
      </c>
      <c r="U96" s="145">
        <f t="shared" si="79"/>
        <v>1782938269</v>
      </c>
      <c r="V96" s="123"/>
      <c r="W96" s="123"/>
    </row>
    <row r="97" spans="1:23" s="124" customFormat="1" ht="20.25" customHeight="1" thickTop="1">
      <c r="A97" s="146" t="s">
        <v>59</v>
      </c>
      <c r="B97" s="147">
        <f>'Tab. 6B Polit społ i rozwój prz'!E17-'Tab. 6B Polit społ i rozwój prz'!E132+'Tab. 6D - Oświata'!E18+'Tab. 6E - Administracja'!E33+'Tab. 6E - Administracja'!E80+'Tab. 6E - Administracja'!E99+'Tab. 6G - Roln i ochrona środ.'!E44+'Tab. 6G - Roln i ochrona środ.'!E113+'Tab. 6H - Kultura fiz. i turyst'!E17-'Tab. 6H - Kultura fiz. i turyst'!E36-'Tab. 6H - Kultura fiz. i turyst'!E68+'Tab.6I - Planow. przestrz.'!E26+'Tab.6I - Planow. przestrz.'!E35+'Tab. 6E - Administracja'!E55</f>
        <v>22127017</v>
      </c>
      <c r="C97" s="147">
        <f>'Tab. 6B Polit społ i rozwój prz'!F17-'Tab. 6B Polit społ i rozwój prz'!F132+'Tab. 6D - Oświata'!F18+'Tab. 6E - Administracja'!F33+'Tab. 6E - Administracja'!F80+'Tab. 6E - Administracja'!F99+'Tab. 6G - Roln i ochrona środ.'!F44+'Tab. 6G - Roln i ochrona środ.'!F113+'Tab. 6H - Kultura fiz. i turyst'!F17-'Tab. 6H - Kultura fiz. i turyst'!F36-'Tab. 6H - Kultura fiz. i turyst'!F68+'Tab.6I - Planow. przestrz.'!F26+'Tab.6I - Planow. przestrz.'!F35+'Tab. 6E - Administracja'!F55</f>
        <v>288513</v>
      </c>
      <c r="D97" s="147">
        <f>'Tab. 6B Polit społ i rozwój prz'!G17-'Tab. 6B Polit społ i rozwój prz'!G132+'Tab. 6D - Oświata'!G18+'Tab. 6E - Administracja'!G33+'Tab. 6E - Administracja'!G80+'Tab. 6E - Administracja'!G99+'Tab. 6G - Roln i ochrona środ.'!G44+'Tab. 6G - Roln i ochrona środ.'!G113+'Tab. 6H - Kultura fiz. i turyst'!G17-'Tab. 6H - Kultura fiz. i turyst'!G36-'Tab. 6H - Kultura fiz. i turyst'!G68+'Tab.6I - Planow. przestrz.'!G26+'Tab.6I - Planow. przestrz.'!G35+'Tab. 6E - Administracja'!G55</f>
        <v>6919444</v>
      </c>
      <c r="E97" s="147">
        <f>'Tab. 6B Polit społ i rozwój prz'!H17-'Tab. 6B Polit społ i rozwój prz'!H132+'Tab. 6D - Oświata'!H18+'Tab. 6E - Administracja'!H33+'Tab. 6E - Administracja'!H80+'Tab. 6E - Administracja'!H99+'Tab. 6G - Roln i ochrona środ.'!H44+'Tab. 6G - Roln i ochrona środ.'!H113+'Tab. 6H - Kultura fiz. i turyst'!H17-'Tab. 6H - Kultura fiz. i turyst'!H36-'Tab. 6H - Kultura fiz. i turyst'!H68+'Tab.6I - Planow. przestrz.'!H26+'Tab.6I - Planow. przestrz.'!H35+'Tab. 6E - Administracja'!H55</f>
        <v>17624011</v>
      </c>
      <c r="F97" s="147">
        <f>'Tab. 6B Polit społ i rozwój prz'!I17-'Tab. 6B Polit społ i rozwój prz'!I132+'Tab. 6D - Oświata'!I18+'Tab. 6E - Administracja'!I33+'Tab. 6E - Administracja'!I80+'Tab. 6E - Administracja'!I99+'Tab. 6G - Roln i ochrona środ.'!I44+'Tab. 6G - Roln i ochrona środ.'!I113+'Tab. 6H - Kultura fiz. i turyst'!I17-'Tab. 6H - Kultura fiz. i turyst'!I36-'Tab. 6H - Kultura fiz. i turyst'!I68+'Tab.6I - Planow. przestrz.'!I26+'Tab.6I - Planow. przestrz.'!I35+'Tab. 6E - Administracja'!I55</f>
        <v>34699485</v>
      </c>
      <c r="G97" s="147">
        <f>'Tab. 6B Polit społ i rozwój prz'!J17-'Tab. 6B Polit społ i rozwój prz'!J132+'Tab. 6D - Oświata'!J18+'Tab. 6E - Administracja'!J33+'Tab. 6E - Administracja'!J80+'Tab. 6E - Administracja'!J99+'Tab. 6G - Roln i ochrona środ.'!J44+'Tab. 6G - Roln i ochrona środ.'!J113+'Tab. 6H - Kultura fiz. i turyst'!J17-'Tab. 6H - Kultura fiz. i turyst'!J36-'Tab. 6H - Kultura fiz. i turyst'!J68+'Tab.6I - Planow. przestrz.'!J26+'Tab.6I - Planow. przestrz.'!J35+'Tab. 6E - Administracja'!J55</f>
        <v>28923771</v>
      </c>
      <c r="H97" s="147">
        <f>'Tab. 6B Polit społ i rozwój prz'!K17-'Tab. 6B Polit społ i rozwój prz'!K132+'Tab. 6D - Oświata'!K18+'Tab. 6E - Administracja'!K33+'Tab. 6E - Administracja'!K80+'Tab. 6E - Administracja'!K99+'Tab. 6G - Roln i ochrona środ.'!K44+'Tab. 6G - Roln i ochrona środ.'!K113+'Tab. 6H - Kultura fiz. i turyst'!K17-'Tab. 6H - Kultura fiz. i turyst'!K36-'Tab. 6H - Kultura fiz. i turyst'!K68+'Tab.6I - Planow. przestrz.'!K26+'Tab.6I - Planow. przestrz.'!K35+'Tab. 6E - Administracja'!K55</f>
        <v>35918841</v>
      </c>
      <c r="I97" s="147">
        <f>'Tab. 6B Polit społ i rozwój prz'!L17-'Tab. 6B Polit społ i rozwój prz'!L132+'Tab. 6D - Oświata'!L18+'Tab. 6E - Administracja'!L33+'Tab. 6E - Administracja'!L80+'Tab. 6E - Administracja'!L99+'Tab. 6G - Roln i ochrona środ.'!L44+'Tab. 6G - Roln i ochrona środ.'!L113+'Tab. 6H - Kultura fiz. i turyst'!L17-'Tab. 6H - Kultura fiz. i turyst'!L36-'Tab. 6H - Kultura fiz. i turyst'!L68+'Tab.6I - Planow. przestrz.'!L26+'Tab.6I - Planow. przestrz.'!L35+'Tab. 6E - Administracja'!L55</f>
        <v>40965190</v>
      </c>
      <c r="J97" s="147">
        <f>'Tab. 6B Polit społ i rozwój prz'!M17-'Tab. 6B Polit społ i rozwój prz'!M132+'Tab. 6D - Oświata'!M18+'Tab. 6E - Administracja'!M33+'Tab. 6E - Administracja'!M80+'Tab. 6E - Administracja'!M99+'Tab. 6G - Roln i ochrona środ.'!M44+'Tab. 6G - Roln i ochrona środ.'!M113+'Tab. 6H - Kultura fiz. i turyst'!M17-'Tab. 6H - Kultura fiz. i turyst'!M36-'Tab. 6H - Kultura fiz. i turyst'!M68+'Tab.6I - Planow. przestrz.'!M26+'Tab.6I - Planow. przestrz.'!M35+'Tab. 6E - Administracja'!M55-1</f>
        <v>220817709</v>
      </c>
      <c r="K97" s="147">
        <f>'Tab. 6B Polit społ i rozwój prz'!N17-'Tab. 6B Polit społ i rozwój prz'!N132+'Tab. 6D - Oświata'!N18+'Tab. 6E - Administracja'!N33+'Tab. 6E - Administracja'!N80+'Tab. 6E - Administracja'!N99+'Tab. 6G - Roln i ochrona środ.'!N44+'Tab. 6G - Roln i ochrona środ.'!N113+'Tab. 6G - Roln i ochrona środ.'!N146+'Tab. 6H - Kultura fiz. i turyst'!N17-'Tab. 6H - Kultura fiz. i turyst'!N36-'Tab. 6H - Kultura fiz. i turyst'!N68+'Tab.6I - Planow. przestrz.'!N26+'Tab.6I - Planow. przestrz.'!N35+'Tab. 6E - Administracja'!N55</f>
        <v>58851098</v>
      </c>
      <c r="L97" s="147">
        <f>'Tab. 6B Polit społ i rozwój prz'!O17-'Tab. 6B Polit społ i rozwój prz'!O132-'Tab. 6B Polit społ i rozwój prz'!O156+'Tab. 6D - Oświata'!O18+'Tab. 6E - Administracja'!O33+'Tab. 6E - Administracja'!O80+'Tab. 6E - Administracja'!O99+'Tab. 6G - Roln i ochrona środ.'!O44+'Tab. 6G - Roln i ochrona środ.'!O113+'Tab. 6G - Roln i ochrona środ.'!O146+'Tab. 6H - Kultura fiz. i turyst'!O17-'Tab. 6H - Kultura fiz. i turyst'!O36-'Tab. 6H - Kultura fiz. i turyst'!O68+'Tab.6I - Planow. przestrz.'!O26+'Tab.6I - Planow. przestrz.'!O35+'Tab. 6E - Administracja'!O55+'Tab. 6E - Administracja'!O134</f>
        <v>51708470</v>
      </c>
      <c r="M97" s="147">
        <f>'Tab. 6B Polit społ i rozwój prz'!P17-'Tab. 6B Polit społ i rozwój prz'!P132-'Tab. 6B Polit społ i rozwój prz'!P156+'Tab. 6D - Oświata'!P18+'Tab. 6E - Administracja'!P33+'Tab. 6E - Administracja'!P80+'Tab. 6E - Administracja'!P99+'Tab. 6G - Roln i ochrona środ.'!P44+'Tab. 6G - Roln i ochrona środ.'!P113+'Tab. 6G - Roln i ochrona środ.'!P146+'Tab. 6H - Kultura fiz. i turyst'!P17-'Tab. 6H - Kultura fiz. i turyst'!P36-'Tab. 6H - Kultura fiz. i turyst'!P68+'Tab.6I - Planow. przestrz.'!P26+'Tab.6I - Planow. przestrz.'!P35+'Tab. 6E - Administracja'!P55+'Tab. 6E - Administracja'!P134+'Tab. 6A -Drogi'!P365+'Tab. 6E - Administracja'!P181+'Tab. 6E - Administracja'!P210+'Tab. 6E - Administracja'!P238</f>
        <v>45509906</v>
      </c>
      <c r="N97" s="147">
        <f>'Tab. 6B Polit społ i rozwój prz'!Q17-'Tab. 6B Polit społ i rozwój prz'!Q132-'Tab. 6B Polit społ i rozwój prz'!Q156+'Tab. 6D - Oświata'!Q18+'Tab. 6E - Administracja'!Q33+'Tab. 6E - Administracja'!Q80+'Tab. 6E - Administracja'!Q99+'Tab. 6G - Roln i ochrona środ.'!Q44+'Tab. 6G - Roln i ochrona środ.'!Q113+'Tab. 6G - Roln i ochrona środ.'!Q146+'Tab. 6H - Kultura fiz. i turyst'!Q17-'Tab. 6H - Kultura fiz. i turyst'!Q36-'Tab. 6H - Kultura fiz. i turyst'!Q68+'Tab.6I - Planow. przestrz.'!Q26+'Tab.6I - Planow. przestrz.'!Q35+'Tab. 6E - Administracja'!Q55+'Tab. 6E - Administracja'!Q134+'Tab. 6A -Drogi'!Q365+'Tab. 6E - Administracja'!Q181+'Tab. 6E - Administracja'!Q210+'Tab. 6E - Administracja'!Q238</f>
        <v>43489688</v>
      </c>
      <c r="O97" s="147">
        <f>'Tab. 6B Polit społ i rozwój prz'!R17-'Tab. 6B Polit społ i rozwój prz'!R132-'Tab. 6B Polit społ i rozwój prz'!R156+'Tab. 6D - Oświata'!R18+'Tab. 6E - Administracja'!R33+'Tab. 6E - Administracja'!R80+'Tab. 6E - Administracja'!R99+'Tab. 6G - Roln i ochrona środ.'!R44+'Tab. 6G - Roln i ochrona środ.'!R113+'Tab. 6G - Roln i ochrona środ.'!R146+'Tab. 6H - Kultura fiz. i turyst'!R17-'Tab. 6H - Kultura fiz. i turyst'!R36-'Tab. 6H - Kultura fiz. i turyst'!R68+'Tab.6I - Planow. przestrz.'!R26+'Tab.6I - Planow. przestrz.'!R35+'Tab. 6E - Administracja'!R55+'Tab. 6E - Administracja'!R134+'Tab. 6A -Drogi'!R365+'Tab. 6E - Administracja'!R181+'Tab. 6E - Administracja'!R210+'Tab. 6E - Administracja'!R238</f>
        <v>39947433</v>
      </c>
      <c r="P97" s="147">
        <f>'Tab. 6B Polit społ i rozwój prz'!S17-'Tab. 6B Polit społ i rozwój prz'!S132-'Tab. 6B Polit społ i rozwój prz'!S156+'Tab. 6D - Oświata'!S18+'Tab. 6E - Administracja'!S33+'Tab. 6E - Administracja'!S80+'Tab. 6E - Administracja'!S99+'Tab. 6G - Roln i ochrona środ.'!S44+'Tab. 6G - Roln i ochrona środ.'!S113+'Tab. 6G - Roln i ochrona środ.'!S146+'Tab. 6H - Kultura fiz. i turyst'!S17-'Tab. 6H - Kultura fiz. i turyst'!S36-'Tab. 6H - Kultura fiz. i turyst'!S68+'Tab.6I - Planow. przestrz.'!S26+'Tab.6I - Planow. przestrz.'!S35+'Tab. 6E - Administracja'!S55+'Tab. 6E - Administracja'!S134+'Tab. 6A -Drogi'!S365+'Tab. 6E - Administracja'!S181+'Tab. 6E - Administracja'!S210</f>
        <v>35147750</v>
      </c>
      <c r="Q97" s="147">
        <f>'Tab. 6B Polit społ i rozwój prz'!T17-'Tab. 6B Polit społ i rozwój prz'!T132-'Tab. 6B Polit społ i rozwój prz'!T156+'Tab. 6D - Oświata'!T18+'Tab. 6E - Administracja'!T33+'Tab. 6E - Administracja'!T80+'Tab. 6E - Administracja'!T99+'Tab. 6G - Roln i ochrona środ.'!T44+'Tab. 6G - Roln i ochrona środ.'!T113+'Tab. 6G - Roln i ochrona środ.'!T146+'Tab. 6H - Kultura fiz. i turyst'!T17-'Tab. 6H - Kultura fiz. i turyst'!T36-'Tab. 6H - Kultura fiz. i turyst'!T68+'Tab.6I - Planow. przestrz.'!T26+'Tab.6I - Planow. przestrz.'!T35+'Tab. 6E - Administracja'!T55+'Tab. 6E - Administracja'!T134+'Tab. 6A -Drogi'!T365+'Tab. 6E - Administracja'!T181+'Tab. 6E - Administracja'!T210</f>
        <v>31862223</v>
      </c>
      <c r="R97" s="147">
        <f>'Tab. 6B Polit społ i rozwój prz'!U17-'Tab. 6B Polit społ i rozwój prz'!U132-'Tab. 6B Polit społ i rozwój prz'!U156+'Tab. 6D - Oświata'!U18+'Tab. 6E - Administracja'!U33+'Tab. 6E - Administracja'!U80+'Tab. 6E - Administracja'!U99+'Tab. 6G - Roln i ochrona środ.'!U44+'Tab. 6G - Roln i ochrona środ.'!U113+'Tab. 6G - Roln i ochrona środ.'!U146+'Tab. 6H - Kultura fiz. i turyst'!U17-'Tab. 6H - Kultura fiz. i turyst'!U36-'Tab. 6H - Kultura fiz. i turyst'!U68+'Tab.6I - Planow. przestrz.'!U26+'Tab.6I - Planow. przestrz.'!U35+'Tab. 6E - Administracja'!U55+'Tab. 6E - Administracja'!U134+'Tab. 6A -Drogi'!U365+'Tab. 6E - Administracja'!U181+'Tab. 6E - Administracja'!U210</f>
        <v>30407494</v>
      </c>
      <c r="S97" s="147">
        <f>'Tab. 6B Polit społ i rozwój prz'!V17-'Tab. 6B Polit społ i rozwój prz'!V132-'Tab. 6B Polit społ i rozwój prz'!V156+'Tab. 6D - Oświata'!V18+'Tab. 6E - Administracja'!V33+'Tab. 6E - Administracja'!V80+'Tab. 6E - Administracja'!V99+'Tab. 6G - Roln i ochrona środ.'!V44+'Tab. 6G - Roln i ochrona środ.'!V113+'Tab. 6G - Roln i ochrona środ.'!V146+'Tab. 6H - Kultura fiz. i turyst'!V17-'Tab. 6H - Kultura fiz. i turyst'!V36-'Tab. 6H - Kultura fiz. i turyst'!V68+'Tab.6I - Planow. przestrz.'!V26+'Tab.6I - Planow. przestrz.'!V35+'Tab. 6E - Administracja'!V55+'Tab. 6E - Administracja'!V134+'Tab. 6A -Drogi'!V365+'Tab. 6E - Administracja'!V181+'Tab. 6E - Administracja'!V210</f>
        <v>30073524</v>
      </c>
      <c r="T97" s="147">
        <f>'Tab. 6B Polit społ i rozwój prz'!W17-'Tab. 6B Polit społ i rozwój prz'!W132-'Tab. 6B Polit społ i rozwój prz'!W156+'Tab. 6D - Oświata'!W18+'Tab. 6E - Administracja'!W33+'Tab. 6E - Administracja'!W80+'Tab. 6E - Administracja'!W99+'Tab. 6G - Roln i ochrona środ.'!W44+'Tab. 6G - Roln i ochrona środ.'!W113+'Tab. 6G - Roln i ochrona środ.'!W146+'Tab. 6H - Kultura fiz. i turyst'!W17-'Tab. 6H - Kultura fiz. i turyst'!W36-'Tab. 6H - Kultura fiz. i turyst'!W68+'Tab.6I - Planow. przestrz.'!W26+'Tab.6I - Planow. przestrz.'!W35+'Tab. 6E - Administracja'!W55+'Tab. 6E - Administracja'!W134+'Tab. 6A -Drogi'!W365+'Tab. 6E - Administracja'!W181+'Tab. 6E - Administracja'!W210</f>
        <v>30175721</v>
      </c>
      <c r="U97" s="148">
        <f>J97+L97+M97+N97+O97+P97+Q97+R97+S97+T97</f>
        <v>559139918</v>
      </c>
      <c r="V97" s="123"/>
      <c r="W97" s="123"/>
    </row>
    <row r="98" spans="1:23" s="124" customFormat="1" ht="18" customHeight="1">
      <c r="A98" s="146" t="s">
        <v>55</v>
      </c>
      <c r="B98" s="147">
        <f>'Tab. 6A -Drogi'!E23+'Tab. 6B Polit społ i rozwój prz'!E132+'Tab. 6E - Administracja'!E44+'Tab. 6E - Administracja'!E90+'Tab. 6E - Administracja'!E110+'Tab. 6G - Roln i ochrona środ.'!E23-'Tab. 6G - Roln i ochrona środ.'!E44-'Tab. 6G - Roln i ochrona środ.'!E113+'Tab. 6H - Kultura fiz. i turyst'!E36+'Tab. 6H - Kultura fiz. i turyst'!E68+'Tab.6I - Planow. przestrz.'!E44+'Tab. 6E - Administracja'!E66</f>
        <v>14595567</v>
      </c>
      <c r="C98" s="147">
        <f>'Tab. 6A -Drogi'!F23+'Tab. 6B Polit społ i rozwój prz'!F132+'Tab. 6E - Administracja'!F44+'Tab. 6E - Administracja'!F90+'Tab. 6E - Administracja'!F110+'Tab. 6G - Roln i ochrona środ.'!F23-'Tab. 6G - Roln i ochrona środ.'!F44-'Tab. 6G - Roln i ochrona środ.'!F113+'Tab. 6H - Kultura fiz. i turyst'!F36+'Tab. 6H - Kultura fiz. i turyst'!F68+'Tab.6I - Planow. przestrz.'!F44+'Tab. 6E - Administracja'!F66</f>
        <v>0</v>
      </c>
      <c r="D98" s="147">
        <f>'Tab. 6A -Drogi'!G23+'Tab. 6B Polit społ i rozwój prz'!G132+'Tab. 6E - Administracja'!G44+'Tab. 6E - Administracja'!G90+'Tab. 6E - Administracja'!G110+'Tab. 6G - Roln i ochrona środ.'!G23-'Tab. 6G - Roln i ochrona środ.'!G44-'Tab. 6G - Roln i ochrona środ.'!G113+'Tab. 6H - Kultura fiz. i turyst'!G36+'Tab. 6H - Kultura fiz. i turyst'!G68+'Tab.6I - Planow. przestrz.'!G44+'Tab. 6E - Administracja'!G66</f>
        <v>0</v>
      </c>
      <c r="E98" s="147">
        <f>'Tab. 6A -Drogi'!H23+'Tab. 6B Polit społ i rozwój prz'!H132+'Tab. 6E - Administracja'!H44+'Tab. 6E - Administracja'!H90+'Tab. 6E - Administracja'!H110+'Tab. 6G - Roln i ochrona środ.'!H23-'Tab. 6G - Roln i ochrona środ.'!H44-'Tab. 6G - Roln i ochrona środ.'!H113+'Tab. 6H - Kultura fiz. i turyst'!H36+'Tab. 6H - Kultura fiz. i turyst'!H68+'Tab.6I - Planow. przestrz.'!H44+'Tab. 6E - Administracja'!H66</f>
        <v>16633057</v>
      </c>
      <c r="F98" s="147">
        <f>'Tab. 6A -Drogi'!I23+'Tab. 6B Polit społ i rozwój prz'!I132+'Tab. 6E - Administracja'!I44+'Tab. 6E - Administracja'!I90+'Tab. 6E - Administracja'!I110+'Tab. 6G - Roln i ochrona środ.'!I23-'Tab. 6G - Roln i ochrona środ.'!I44-'Tab. 6G - Roln i ochrona środ.'!I113+'Tab. 6H - Kultura fiz. i turyst'!I36+'Tab. 6H - Kultura fiz. i turyst'!I68+'Tab.6I - Planow. przestrz.'!I44+'Tab. 6E - Administracja'!I66</f>
        <v>24723617</v>
      </c>
      <c r="G98" s="147">
        <f>'Tab. 6A -Drogi'!J23+'Tab. 6B Polit społ i rozwój prz'!J132+'Tab. 6E - Administracja'!J44+'Tab. 6E - Administracja'!J90+'Tab. 6E - Administracja'!J110+'Tab. 6G - Roln i ochrona środ.'!J23-'Tab. 6G - Roln i ochrona środ.'!J44-'Tab. 6G - Roln i ochrona środ.'!J113+'Tab. 6H - Kultura fiz. i turyst'!J36+'Tab. 6H - Kultura fiz. i turyst'!J68+'Tab.6I - Planow. przestrz.'!J44+'Tab. 6E - Administracja'!J66</f>
        <v>62183813</v>
      </c>
      <c r="H98" s="147">
        <f>'Tab. 6A -Drogi'!K23+'Tab. 6B Polit społ i rozwój prz'!K132+'Tab. 6E - Administracja'!K44+'Tab. 6E - Administracja'!K90+'Tab. 6E - Administracja'!K110+'Tab. 6G - Roln i ochrona środ.'!K23-'Tab. 6G - Roln i ochrona środ.'!K44-'Tab. 6G - Roln i ochrona środ.'!K113+'Tab. 6H - Kultura fiz. i turyst'!K36+'Tab. 6H - Kultura fiz. i turyst'!K68+'Tab.6I - Planow. przestrz.'!K44+'Tab. 6E - Administracja'!K66</f>
        <v>109059805</v>
      </c>
      <c r="I98" s="147">
        <f>'Tab. 6A -Drogi'!L23+'Tab. 6B Polit społ i rozwój prz'!L132+'Tab. 6E - Administracja'!L44+'Tab. 6E - Administracja'!L90+'Tab. 6E - Administracja'!L110+'Tab. 6G - Roln i ochrona środ.'!L23-'Tab. 6G - Roln i ochrona środ.'!L44-'Tab. 6G - Roln i ochrona środ.'!L113+'Tab. 6H - Kultura fiz. i turyst'!L36+'Tab. 6H - Kultura fiz. i turyst'!L68+'Tab.6I - Planow. przestrz.'!L44+'Tab. 6E - Administracja'!L66</f>
        <v>140486547</v>
      </c>
      <c r="J98" s="147">
        <f>'Tab. 6A -Drogi'!M23+'Tab. 6B Polit społ i rozwój prz'!M132+'Tab. 6E - Administracja'!M44+'Tab. 6E - Administracja'!M90+'Tab. 6E - Administracja'!M110+'Tab. 6G - Roln i ochrona środ.'!M23-'Tab. 6G - Roln i ochrona środ.'!M44-'Tab. 6G - Roln i ochrona środ.'!M113+'Tab. 6H - Kultura fiz. i turyst'!M36+'Tab. 6H - Kultura fiz. i turyst'!M68+'Tab.6I - Planow. przestrz.'!M44+'Tab. 6E - Administracja'!M66</f>
        <v>561851205</v>
      </c>
      <c r="K98" s="147">
        <f>'Tab. 6A -Drogi'!N23+'Tab. 6B Polit społ i rozwój prz'!N132+'Tab. 6E - Administracja'!N44+'Tab. 6E - Administracja'!N90+'Tab. 6E - Administracja'!N110+'Tab. 6G - Roln i ochrona środ.'!N23-'Tab. 6G - Roln i ochrona środ.'!N44-'Tab. 6G - Roln i ochrona środ.'!N113-'Tab. 6G - Roln i ochrona środ.'!N146+'Tab. 6H - Kultura fiz. i turyst'!N36+'Tab. 6H - Kultura fiz. i turyst'!N68+'Tab.6I - Planow. przestrz.'!N44+'Tab. 6E - Administracja'!N66</f>
        <v>210801855</v>
      </c>
      <c r="L98" s="147">
        <f>'Tab. 6A -Drogi'!O23+'Tab. 6B Polit społ i rozwój prz'!O132+'Tab. 6B Polit społ i rozwój prz'!O156+'Tab. 6E - Administracja'!O44+'Tab. 6E - Administracja'!O90+'Tab. 6E - Administracja'!O110+'Tab. 6G - Roln i ochrona środ.'!O23-'Tab. 6G - Roln i ochrona środ.'!O44-'Tab. 6G - Roln i ochrona środ.'!O113-'Tab. 6G - Roln i ochrona środ.'!O146+'Tab. 6H - Kultura fiz. i turyst'!O36+'Tab. 6H - Kultura fiz. i turyst'!O68+'Tab.6I - Planow. przestrz.'!O44+'Tab. 6E - Administracja'!O66+'Tab. 6E - Administracja'!O152</f>
        <v>171846542</v>
      </c>
      <c r="M98" s="147">
        <f>'Tab. 6A -Drogi'!P23+'Tab. 6B Polit społ i rozwój prz'!P132+'Tab. 6B Polit społ i rozwój prz'!P156+'Tab. 6E - Administracja'!P44+'Tab. 6E - Administracja'!P90+'Tab. 6E - Administracja'!P110+'Tab. 6G - Roln i ochrona środ.'!P23-'Tab. 6G - Roln i ochrona środ.'!P44-'Tab. 6G - Roln i ochrona środ.'!P113-'Tab. 6G - Roln i ochrona środ.'!P146+'Tab. 6H - Kultura fiz. i turyst'!P36+'Tab. 6H - Kultura fiz. i turyst'!P68+'Tab.6I - Planow. przestrz.'!P44+'Tab. 6E - Administracja'!P66+'Tab. 6E - Administracja'!P152+'Tab. 6E - Administracja'!P196+'Tab. 6E - Administracja'!P223-'Tab. 6A -Drogi'!P365</f>
        <v>130043464</v>
      </c>
      <c r="N98" s="147">
        <f>'Tab. 6A -Drogi'!Q23+'Tab. 6B Polit społ i rozwój prz'!Q132+'Tab. 6B Polit społ i rozwój prz'!Q156+'Tab. 6E - Administracja'!Q44+'Tab. 6E - Administracja'!Q90+'Tab. 6E - Administracja'!Q110+'Tab. 6G - Roln i ochrona środ.'!Q23-'Tab. 6G - Roln i ochrona środ.'!Q44-'Tab. 6G - Roln i ochrona środ.'!Q113-'Tab. 6G - Roln i ochrona środ.'!Q146+'Tab. 6H - Kultura fiz. i turyst'!Q36+'Tab. 6H - Kultura fiz. i turyst'!Q68+'Tab.6I - Planow. przestrz.'!Q44+'Tab. 6E - Administracja'!Q66+'Tab. 6E - Administracja'!Q152+'Tab. 6E - Administracja'!Q196+'Tab. 6E - Administracja'!Q223-'Tab. 6A -Drogi'!Q365</f>
        <v>185165790</v>
      </c>
      <c r="O98" s="147">
        <f>'Tab. 6A -Drogi'!R23+'Tab. 6B Polit społ i rozwój prz'!R132+'Tab. 6B Polit społ i rozwój prz'!R156+'Tab. 6E - Administracja'!R44+'Tab. 6E - Administracja'!R90+'Tab. 6E - Administracja'!R110+'Tab. 6G - Roln i ochrona środ.'!R23-'Tab. 6G - Roln i ochrona środ.'!R44-'Tab. 6G - Roln i ochrona środ.'!R113-'Tab. 6G - Roln i ochrona środ.'!R146+'Tab. 6H - Kultura fiz. i turyst'!R36+'Tab. 6H - Kultura fiz. i turyst'!R68+'Tab.6I - Planow. przestrz.'!R44+'Tab. 6E - Administracja'!R66+'Tab. 6E - Administracja'!R152+'Tab. 6E - Administracja'!R196+'Tab. 6E - Administracja'!R223-'Tab. 6A -Drogi'!R365</f>
        <v>128371525</v>
      </c>
      <c r="P98" s="147">
        <f>'Tab. 6A -Drogi'!S23+'Tab. 6B Polit społ i rozwój prz'!S132+'Tab. 6B Polit społ i rozwój prz'!S156+'Tab. 6E - Administracja'!S44+'Tab. 6E - Administracja'!S90+'Tab. 6E - Administracja'!S110+'Tab. 6G - Roln i ochrona środ.'!S23-'Tab. 6G - Roln i ochrona środ.'!S44-'Tab. 6G - Roln i ochrona środ.'!S113-'Tab. 6G - Roln i ochrona środ.'!S146+'Tab. 6H - Kultura fiz. i turyst'!S36+'Tab. 6H - Kultura fiz. i turyst'!S68+'Tab.6I - Planow. przestrz.'!S44+'Tab. 6E - Administracja'!S66+'Tab. 6E - Administracja'!S152+'Tab. 6E - Administracja'!S196+'Tab. 6E - Administracja'!S223-'Tab. 6A -Drogi'!S365</f>
        <v>32346225</v>
      </c>
      <c r="Q98" s="147">
        <f>'Tab. 6A -Drogi'!T23+'Tab. 6B Polit społ i rozwój prz'!T132+'Tab. 6B Polit społ i rozwój prz'!T156+'Tab. 6E - Administracja'!T44+'Tab. 6E - Administracja'!T90+'Tab. 6E - Administracja'!T110+'Tab. 6G - Roln i ochrona środ.'!T23-'Tab. 6G - Roln i ochrona środ.'!T44-'Tab. 6G - Roln i ochrona środ.'!T113-'Tab. 6G - Roln i ochrona środ.'!T146+'Tab. 6H - Kultura fiz. i turyst'!T36+'Tab. 6H - Kultura fiz. i turyst'!T68+'Tab.6I - Planow. przestrz.'!T44+'Tab. 6E - Administracja'!T66+'Tab. 6E - Administracja'!T152+'Tab. 6E - Administracja'!T196+'Tab. 6E - Administracja'!T223-'Tab. 6A -Drogi'!T365</f>
        <v>13672525</v>
      </c>
      <c r="R98" s="147">
        <f>'Tab. 6A -Drogi'!U23+'Tab. 6B Polit społ i rozwój prz'!U132+'Tab. 6B Polit społ i rozwój prz'!U156+'Tab. 6E - Administracja'!U44+'Tab. 6E - Administracja'!U90+'Tab. 6E - Administracja'!U110+'Tab. 6G - Roln i ochrona środ.'!U23-'Tab. 6G - Roln i ochrona środ.'!U44-'Tab. 6G - Roln i ochrona środ.'!U113-'Tab. 6G - Roln i ochrona środ.'!U146+'Tab. 6H - Kultura fiz. i turyst'!U36+'Tab. 6H - Kultura fiz. i turyst'!U68+'Tab.6I - Planow. przestrz.'!U44+'Tab. 6E - Administracja'!U66+'Tab. 6E - Administracja'!U152+'Tab. 6E - Administracja'!U196+'Tab. 6E - Administracja'!U223-'Tab. 6A -Drogi'!U365</f>
        <v>167025</v>
      </c>
      <c r="S98" s="147">
        <f>'Tab. 6A -Drogi'!V23+'Tab. 6B Polit społ i rozwój prz'!V132+'Tab. 6B Polit społ i rozwój prz'!V156+'Tab. 6E - Administracja'!V44+'Tab. 6E - Administracja'!V90+'Tab. 6E - Administracja'!V110+'Tab. 6G - Roln i ochrona środ.'!V23-'Tab. 6G - Roln i ochrona środ.'!V44-'Tab. 6G - Roln i ochrona środ.'!V113-'Tab. 6G - Roln i ochrona środ.'!V146+'Tab. 6H - Kultura fiz. i turyst'!V36+'Tab. 6H - Kultura fiz. i turyst'!V68+'Tab.6I - Planow. przestrz.'!V44+'Tab. 6E - Administracja'!V66+'Tab. 6E - Administracja'!V152+'Tab. 6E - Administracja'!V196+'Tab. 6E - Administracja'!V223-'Tab. 6A -Drogi'!V365</f>
        <v>167025</v>
      </c>
      <c r="T98" s="147">
        <f>'Tab. 6A -Drogi'!W23+'Tab. 6B Polit społ i rozwój prz'!W132+'Tab. 6B Polit społ i rozwój prz'!W156+'Tab. 6E - Administracja'!W44+'Tab. 6E - Administracja'!W90+'Tab. 6E - Administracja'!W110+'Tab. 6G - Roln i ochrona środ.'!W23-'Tab. 6G - Roln i ochrona środ.'!W44-'Tab. 6G - Roln i ochrona środ.'!W113-'Tab. 6G - Roln i ochrona środ.'!W146+'Tab. 6H - Kultura fiz. i turyst'!W36+'Tab. 6H - Kultura fiz. i turyst'!W68+'Tab.6I - Planow. przestrz.'!W44+'Tab. 6E - Administracja'!W66+'Tab. 6E - Administracja'!W152+'Tab. 6E - Administracja'!W196+'Tab. 6E - Administracja'!W223-'Tab. 6A -Drogi'!W365</f>
        <v>167025</v>
      </c>
      <c r="U98" s="148">
        <f>J98+L98+M98+N98+O98+P98+Q98+R98+S98+T98</f>
        <v>1223798351</v>
      </c>
      <c r="V98" s="123"/>
      <c r="W98" s="123"/>
    </row>
    <row r="99" spans="1:23" s="124" customFormat="1" ht="24" customHeight="1" thickBot="1">
      <c r="A99" s="141" t="s">
        <v>60</v>
      </c>
      <c r="B99" s="142">
        <f t="shared" ref="B99:G99" si="82">B85-B100</f>
        <v>0</v>
      </c>
      <c r="C99" s="142">
        <f t="shared" si="82"/>
        <v>0</v>
      </c>
      <c r="D99" s="142">
        <f t="shared" si="82"/>
        <v>0</v>
      </c>
      <c r="E99" s="142">
        <f t="shared" si="82"/>
        <v>0</v>
      </c>
      <c r="F99" s="142">
        <f t="shared" si="82"/>
        <v>0</v>
      </c>
      <c r="G99" s="142">
        <f t="shared" si="82"/>
        <v>0</v>
      </c>
      <c r="H99" s="142">
        <f>H85-H100</f>
        <v>0</v>
      </c>
      <c r="I99" s="142">
        <f t="shared" ref="I99:U99" si="83">I85-I100</f>
        <v>0</v>
      </c>
      <c r="J99" s="142">
        <f t="shared" si="83"/>
        <v>0</v>
      </c>
      <c r="K99" s="142">
        <f t="shared" si="83"/>
        <v>0</v>
      </c>
      <c r="L99" s="142">
        <f t="shared" si="83"/>
        <v>0</v>
      </c>
      <c r="M99" s="142">
        <f>M85-M100</f>
        <v>0</v>
      </c>
      <c r="N99" s="142">
        <f t="shared" si="83"/>
        <v>0</v>
      </c>
      <c r="O99" s="142">
        <f t="shared" si="83"/>
        <v>0</v>
      </c>
      <c r="P99" s="142">
        <f t="shared" si="83"/>
        <v>0</v>
      </c>
      <c r="Q99" s="142">
        <f t="shared" si="83"/>
        <v>0</v>
      </c>
      <c r="R99" s="142">
        <f t="shared" si="83"/>
        <v>0</v>
      </c>
      <c r="S99" s="142">
        <f t="shared" si="83"/>
        <v>0</v>
      </c>
      <c r="T99" s="142">
        <f t="shared" si="83"/>
        <v>0</v>
      </c>
      <c r="U99" s="142">
        <f t="shared" si="83"/>
        <v>0</v>
      </c>
      <c r="V99" s="123"/>
      <c r="W99" s="123"/>
    </row>
    <row r="100" spans="1:23" s="124" customFormat="1" ht="19.5" customHeight="1" thickBot="1">
      <c r="A100" s="143" t="s">
        <v>58</v>
      </c>
      <c r="B100" s="144">
        <f t="shared" ref="B100:G100" si="84">B101+B102</f>
        <v>279786</v>
      </c>
      <c r="C100" s="144">
        <f t="shared" si="84"/>
        <v>0</v>
      </c>
      <c r="D100" s="144">
        <f t="shared" si="84"/>
        <v>0</v>
      </c>
      <c r="E100" s="144">
        <f t="shared" si="84"/>
        <v>279786</v>
      </c>
      <c r="F100" s="144">
        <f t="shared" si="84"/>
        <v>2596431</v>
      </c>
      <c r="G100" s="144">
        <f t="shared" si="84"/>
        <v>10430330</v>
      </c>
      <c r="H100" s="144">
        <f>H101+H102</f>
        <v>5917833</v>
      </c>
      <c r="I100" s="144">
        <f t="shared" ref="I100:U100" si="85">I101+I102</f>
        <v>10202161</v>
      </c>
      <c r="J100" s="144">
        <f t="shared" ref="J100" si="86">J101+J102</f>
        <v>47598149</v>
      </c>
      <c r="K100" s="144">
        <f t="shared" si="85"/>
        <v>18741608</v>
      </c>
      <c r="L100" s="144">
        <f t="shared" si="85"/>
        <v>49692879</v>
      </c>
      <c r="M100" s="144">
        <f t="shared" si="85"/>
        <v>23899729</v>
      </c>
      <c r="N100" s="144">
        <f t="shared" si="85"/>
        <v>10500000</v>
      </c>
      <c r="O100" s="144">
        <f t="shared" si="85"/>
        <v>10500000</v>
      </c>
      <c r="P100" s="144">
        <f t="shared" ref="P100:T100" si="87">P101+P102</f>
        <v>0</v>
      </c>
      <c r="Q100" s="144">
        <f t="shared" si="87"/>
        <v>0</v>
      </c>
      <c r="R100" s="144">
        <f t="shared" si="87"/>
        <v>0</v>
      </c>
      <c r="S100" s="144">
        <f t="shared" si="87"/>
        <v>0</v>
      </c>
      <c r="T100" s="144">
        <f t="shared" si="87"/>
        <v>0</v>
      </c>
      <c r="U100" s="145">
        <f t="shared" si="85"/>
        <v>142190757</v>
      </c>
      <c r="V100" s="123"/>
      <c r="W100" s="123"/>
    </row>
    <row r="101" spans="1:23" s="124" customFormat="1" ht="18" customHeight="1" thickTop="1">
      <c r="A101" s="146" t="s">
        <v>59</v>
      </c>
      <c r="B101" s="147">
        <f>'Tab. 6A -Drogi'!E506</f>
        <v>0</v>
      </c>
      <c r="C101" s="147">
        <f>'Tab. 6A -Drogi'!F506</f>
        <v>0</v>
      </c>
      <c r="D101" s="147">
        <f>'Tab. 6A -Drogi'!G506</f>
        <v>0</v>
      </c>
      <c r="E101" s="147">
        <f>'Tab. 6A -Drogi'!H506</f>
        <v>0</v>
      </c>
      <c r="F101" s="147">
        <f>'Tab. 6A -Drogi'!I506</f>
        <v>0</v>
      </c>
      <c r="G101" s="147">
        <f>'Tab. 6A -Drogi'!J506</f>
        <v>0</v>
      </c>
      <c r="H101" s="147">
        <f>'Tab. 6A -Drogi'!K506</f>
        <v>0</v>
      </c>
      <c r="I101" s="147">
        <f>'Tab. 6A -Drogi'!L506</f>
        <v>205627</v>
      </c>
      <c r="J101" s="147">
        <f>'Tab. 6A -Drogi'!M506+'Tab. 6E - Administracja'!M267</f>
        <v>1615251</v>
      </c>
      <c r="K101" s="147">
        <f>'Tab. 6A -Drogi'!N506+'Tab. 6E - Administracja'!N267</f>
        <v>1409624</v>
      </c>
      <c r="L101" s="147">
        <f>'Tab. 6A -Drogi'!O506+'Tab. 6E - Administracja'!O267</f>
        <v>12391846</v>
      </c>
      <c r="M101" s="147">
        <f>'Tab. 6A -Drogi'!P506</f>
        <v>11898414</v>
      </c>
      <c r="N101" s="147">
        <f>'Tab. 6A -Drogi'!Q506</f>
        <v>10500000</v>
      </c>
      <c r="O101" s="147">
        <f>'Tab. 6A -Drogi'!R506</f>
        <v>10500000</v>
      </c>
      <c r="P101" s="147">
        <f>'Tab. 6A -Drogi'!S506</f>
        <v>0</v>
      </c>
      <c r="Q101" s="147">
        <f>'Tab. 6A -Drogi'!T506</f>
        <v>0</v>
      </c>
      <c r="R101" s="147">
        <f>'Tab. 6A -Drogi'!U506</f>
        <v>0</v>
      </c>
      <c r="S101" s="147">
        <f>'Tab. 6A -Drogi'!V506</f>
        <v>0</v>
      </c>
      <c r="T101" s="147">
        <f>'Tab. 6A -Drogi'!W506</f>
        <v>0</v>
      </c>
      <c r="U101" s="148">
        <f>J101+L101+M101+N101+O101+P101+Q101+R101+S101+T101</f>
        <v>46905511</v>
      </c>
      <c r="V101" s="123"/>
      <c r="W101" s="123"/>
    </row>
    <row r="102" spans="1:23" s="124" customFormat="1" ht="18" customHeight="1">
      <c r="A102" s="146" t="s">
        <v>55</v>
      </c>
      <c r="B102" s="147">
        <f>'Tab. 6A -Drogi'!E439-'Tab. 6A -Drogi'!E506+'Tab. 6C - Ochrona zdrowia'!E23+'Tab. 6D - Oświata'!E79+'Tab. 6F - Kultura'!E18+'Tab. 6G - Roln i ochrona środ.'!E198</f>
        <v>279786</v>
      </c>
      <c r="C102" s="147">
        <f>'Tab. 6A -Drogi'!F439-'Tab. 6A -Drogi'!F506+'Tab. 6C - Ochrona zdrowia'!F23+'Tab. 6D - Oświata'!F79+'Tab. 6F - Kultura'!F18+'Tab. 6G - Roln i ochrona środ.'!F198</f>
        <v>0</v>
      </c>
      <c r="D102" s="147">
        <f>'Tab. 6A -Drogi'!G439-'Tab. 6A -Drogi'!G506+'Tab. 6C - Ochrona zdrowia'!G23+'Tab. 6D - Oświata'!G79+'Tab. 6F - Kultura'!G18+'Tab. 6G - Roln i ochrona środ.'!G198</f>
        <v>0</v>
      </c>
      <c r="E102" s="147">
        <f>'Tab. 6A -Drogi'!H439-'Tab. 6A -Drogi'!H506+'Tab. 6C - Ochrona zdrowia'!H23+'Tab. 6D - Oświata'!H79+'Tab. 6F - Kultura'!H18+'Tab. 6G - Roln i ochrona środ.'!H198</f>
        <v>279786</v>
      </c>
      <c r="F102" s="147">
        <f>'Tab. 6A -Drogi'!I439-'Tab. 6A -Drogi'!I506+'Tab. 6C - Ochrona zdrowia'!I23+'Tab. 6D - Oświata'!I79+'Tab. 6F - Kultura'!I18+'Tab. 6G - Roln i ochrona środ.'!I198</f>
        <v>2596431</v>
      </c>
      <c r="G102" s="147">
        <f>'Tab. 6A -Drogi'!J439-'Tab. 6A -Drogi'!J506+'Tab. 6C - Ochrona zdrowia'!J23+'Tab. 6D - Oświata'!J79+'Tab. 6F - Kultura'!J18+'Tab. 6G - Roln i ochrona środ.'!J198</f>
        <v>10430330</v>
      </c>
      <c r="H102" s="147">
        <f>'Tab. 6A -Drogi'!K439-'Tab. 6A -Drogi'!K506+'Tab. 6C - Ochrona zdrowia'!K23+'Tab. 6D - Oświata'!K79+'Tab. 6F - Kultura'!K18+'Tab. 6G - Roln i ochrona środ.'!K191</f>
        <v>5917833</v>
      </c>
      <c r="I102" s="147">
        <f>'Tab. 6A -Drogi'!L439-'Tab. 6A -Drogi'!L506+'Tab. 6C - Ochrona zdrowia'!L23+'Tab. 6D - Oświata'!L79+'Tab. 6F - Kultura'!L18+'Tab. 6G - Roln i ochrona środ.'!L191</f>
        <v>9996534</v>
      </c>
      <c r="J102" s="147">
        <f>'Tab. 6A -Drogi'!M439-'Tab. 6A -Drogi'!M506+'Tab. 6C - Ochrona zdrowia'!M23+'Tab. 6D - Oświata'!M79+'Tab. 6F - Kultura'!M18+'Tab. 6G - Roln i ochrona środ.'!M191</f>
        <v>45982898</v>
      </c>
      <c r="K102" s="147">
        <f>'Tab. 6A -Drogi'!N478+'Tab. 6C - Ochrona zdrowia'!N23+'Tab. 6D - Oświata'!N79+'Tab. 6F - Kultura'!N18+'Tab. 6G - Roln i ochrona środ.'!N191</f>
        <v>17331984</v>
      </c>
      <c r="L102" s="147">
        <f>'Tab. 6A -Drogi'!O439-'Tab. 6A -Drogi'!O506+'Tab. 6C - Ochrona zdrowia'!O23+'Tab. 6D - Oświata'!O79+'Tab. 6F - Kultura'!O18+'Tab. 6G - Roln i ochrona środ.'!O191</f>
        <v>37301033</v>
      </c>
      <c r="M102" s="147">
        <f>'Tab. 6A -Drogi'!P439-'Tab. 6A -Drogi'!P506+'Tab. 6C - Ochrona zdrowia'!P23+'Tab. 6D - Oświata'!P79+'Tab. 6F - Kultura'!P18+'Tab. 6G - Roln i ochrona środ.'!P191</f>
        <v>12001315</v>
      </c>
      <c r="N102" s="147">
        <f>'Tab. 6A -Drogi'!Q439-'Tab. 6A -Drogi'!Q506+'Tab. 6C - Ochrona zdrowia'!Q23+'Tab. 6D - Oświata'!Q79+'Tab. 6F - Kultura'!Q18+'Tab. 6G - Roln i ochrona środ.'!Q191</f>
        <v>0</v>
      </c>
      <c r="O102" s="147">
        <f>'Tab. 6A -Drogi'!R439-'Tab. 6A -Drogi'!R506+'Tab. 6C - Ochrona zdrowia'!R23+'Tab. 6D - Oświata'!R79+'Tab. 6F - Kultura'!R18+'Tab. 6G - Roln i ochrona środ.'!R191</f>
        <v>0</v>
      </c>
      <c r="P102" s="147">
        <f>'Tab. 6A -Drogi'!S439-'Tab. 6A -Drogi'!S506+'Tab. 6C - Ochrona zdrowia'!S23+'Tab. 6D - Oświata'!S79+'Tab. 6F - Kultura'!S18+'Tab. 6G - Roln i ochrona środ.'!S191</f>
        <v>0</v>
      </c>
      <c r="Q102" s="147">
        <f>'Tab. 6A -Drogi'!T439-'Tab. 6A -Drogi'!T506+'Tab. 6C - Ochrona zdrowia'!T23+'Tab. 6D - Oświata'!T79+'Tab. 6F - Kultura'!T18+'Tab. 6G - Roln i ochrona środ.'!T191</f>
        <v>0</v>
      </c>
      <c r="R102" s="147">
        <f>'Tab. 6A -Drogi'!U439-'Tab. 6A -Drogi'!U506+'Tab. 6C - Ochrona zdrowia'!U23+'Tab. 6D - Oświata'!U79+'Tab. 6F - Kultura'!U18+'Tab. 6G - Roln i ochrona środ.'!U191</f>
        <v>0</v>
      </c>
      <c r="S102" s="147">
        <f>'Tab. 6A -Drogi'!V439-'Tab. 6A -Drogi'!V506+'Tab. 6C - Ochrona zdrowia'!V23+'Tab. 6D - Oświata'!V79+'Tab. 6F - Kultura'!V18+'Tab. 6G - Roln i ochrona środ.'!V191</f>
        <v>0</v>
      </c>
      <c r="T102" s="147">
        <f>'Tab. 6A -Drogi'!W439-'Tab. 6A -Drogi'!W506+'Tab. 6C - Ochrona zdrowia'!W23+'Tab. 6D - Oświata'!W79+'Tab. 6F - Kultura'!W18+'Tab. 6G - Roln i ochrona środ.'!W191</f>
        <v>0</v>
      </c>
      <c r="U102" s="148">
        <f>J102+L102+M102+N102+O102+P102+Q102+R102+S102+T102</f>
        <v>95285246</v>
      </c>
      <c r="V102" s="123"/>
      <c r="W102" s="123"/>
    </row>
    <row r="103" spans="1:23" s="124" customFormat="1" ht="18" customHeight="1">
      <c r="A103" s="140"/>
      <c r="B103" s="139"/>
      <c r="C103" s="139"/>
      <c r="D103" s="139"/>
      <c r="E103" s="139"/>
      <c r="F103" s="139"/>
      <c r="G103" s="139"/>
      <c r="H103" s="139"/>
      <c r="I103" s="139"/>
      <c r="J103" s="139">
        <f>J100+J96-J90</f>
        <v>0</v>
      </c>
      <c r="K103" s="139">
        <f t="shared" ref="K103:T103" si="88">K100+K96-K90</f>
        <v>0</v>
      </c>
      <c r="L103" s="139">
        <f t="shared" si="88"/>
        <v>0</v>
      </c>
      <c r="M103" s="139">
        <f>M100+M96-M90</f>
        <v>0</v>
      </c>
      <c r="N103" s="139">
        <f t="shared" si="88"/>
        <v>0</v>
      </c>
      <c r="O103" s="139">
        <f t="shared" si="88"/>
        <v>0</v>
      </c>
      <c r="P103" s="139">
        <f t="shared" si="88"/>
        <v>0</v>
      </c>
      <c r="Q103" s="139">
        <f t="shared" si="88"/>
        <v>0</v>
      </c>
      <c r="R103" s="139">
        <f t="shared" si="88"/>
        <v>0</v>
      </c>
      <c r="S103" s="139">
        <f t="shared" si="88"/>
        <v>0</v>
      </c>
      <c r="T103" s="139">
        <f t="shared" si="88"/>
        <v>0</v>
      </c>
      <c r="U103" s="139"/>
      <c r="V103" s="123"/>
      <c r="W103" s="123"/>
    </row>
    <row r="104" spans="1:23" s="124" customFormat="1" ht="18" customHeight="1" thickBot="1">
      <c r="A104" s="149"/>
      <c r="B104" s="150"/>
      <c r="C104" s="150"/>
      <c r="D104" s="150"/>
      <c r="E104" s="150"/>
      <c r="F104" s="150"/>
      <c r="G104" s="150"/>
      <c r="H104" s="150"/>
      <c r="I104" s="150"/>
      <c r="J104" s="150"/>
      <c r="K104" s="150"/>
      <c r="L104" s="150"/>
      <c r="M104" s="150"/>
      <c r="N104" s="150"/>
      <c r="O104" s="150"/>
      <c r="P104" s="150"/>
      <c r="Q104" s="150"/>
      <c r="R104" s="150"/>
      <c r="S104" s="150"/>
      <c r="T104" s="150"/>
      <c r="U104" s="150"/>
      <c r="V104" s="123"/>
      <c r="W104" s="123"/>
    </row>
    <row r="105" spans="1:23" s="124" customFormat="1" ht="18" customHeight="1">
      <c r="A105" s="121"/>
      <c r="B105" s="122"/>
      <c r="C105" s="151"/>
      <c r="D105" s="151"/>
      <c r="E105" s="151"/>
      <c r="F105" s="122"/>
      <c r="G105" s="122"/>
      <c r="H105" s="122"/>
      <c r="I105" s="122"/>
      <c r="J105" s="1286">
        <f>+J84-J58</f>
        <v>0</v>
      </c>
      <c r="K105" s="1286">
        <f t="shared" ref="K105:T105" si="89">+K84-K58</f>
        <v>0</v>
      </c>
      <c r="L105" s="1286">
        <f>+L84-L58</f>
        <v>0</v>
      </c>
      <c r="M105" s="1286">
        <f t="shared" si="89"/>
        <v>0</v>
      </c>
      <c r="N105" s="1286">
        <f t="shared" si="89"/>
        <v>0</v>
      </c>
      <c r="O105" s="1286">
        <f t="shared" si="89"/>
        <v>0</v>
      </c>
      <c r="P105" s="1286">
        <f t="shared" si="89"/>
        <v>0</v>
      </c>
      <c r="Q105" s="1286">
        <f t="shared" si="89"/>
        <v>0</v>
      </c>
      <c r="R105" s="1286">
        <f t="shared" si="89"/>
        <v>0</v>
      </c>
      <c r="S105" s="1286">
        <f t="shared" si="89"/>
        <v>0</v>
      </c>
      <c r="T105" s="1286">
        <f t="shared" si="89"/>
        <v>0</v>
      </c>
      <c r="U105" s="1286">
        <f>+U84-U58</f>
        <v>0</v>
      </c>
      <c r="V105" s="1286"/>
      <c r="W105" s="123"/>
    </row>
    <row r="106" spans="1:23" s="124" customFormat="1" ht="18" customHeight="1" thickBot="1">
      <c r="A106" s="121"/>
      <c r="B106" s="122">
        <f t="shared" ref="B106:U106" si="90">B12+B58</f>
        <v>55086699</v>
      </c>
      <c r="C106" s="122">
        <f t="shared" si="90"/>
        <v>2134685</v>
      </c>
      <c r="D106" s="122">
        <f t="shared" si="90"/>
        <v>15427454</v>
      </c>
      <c r="E106" s="122">
        <f t="shared" si="90"/>
        <v>42196612.060000002</v>
      </c>
      <c r="F106" s="122">
        <f t="shared" si="90"/>
        <v>73740947.299999997</v>
      </c>
      <c r="G106" s="122">
        <f t="shared" si="90"/>
        <v>158578594.30000001</v>
      </c>
      <c r="H106" s="122">
        <f t="shared" si="90"/>
        <v>212732099</v>
      </c>
      <c r="I106" s="122">
        <f t="shared" si="90"/>
        <v>349523341</v>
      </c>
      <c r="J106" s="122">
        <f t="shared" si="90"/>
        <v>1308525750</v>
      </c>
      <c r="K106" s="122">
        <f t="shared" si="90"/>
        <v>459656887</v>
      </c>
      <c r="L106" s="122">
        <f t="shared" si="90"/>
        <v>403995817</v>
      </c>
      <c r="M106" s="122">
        <f t="shared" si="90"/>
        <v>325004484.63999999</v>
      </c>
      <c r="N106" s="122">
        <f t="shared" si="90"/>
        <v>386139270</v>
      </c>
      <c r="O106" s="122">
        <f t="shared" si="90"/>
        <v>316708902</v>
      </c>
      <c r="P106" s="122">
        <f t="shared" si="90"/>
        <v>163811344</v>
      </c>
      <c r="Q106" s="122">
        <f t="shared" si="90"/>
        <v>135386278</v>
      </c>
      <c r="R106" s="122">
        <f t="shared" si="90"/>
        <v>38655180</v>
      </c>
      <c r="S106" s="122">
        <f t="shared" si="90"/>
        <v>35982384</v>
      </c>
      <c r="T106" s="122">
        <f t="shared" si="90"/>
        <v>35207269</v>
      </c>
      <c r="U106" s="122">
        <f t="shared" si="90"/>
        <v>3152980968.6399999</v>
      </c>
      <c r="V106" s="122"/>
      <c r="W106" s="123"/>
    </row>
    <row r="107" spans="1:23" s="124" customFormat="1" ht="16.5" customHeight="1" thickBot="1">
      <c r="A107" s="121"/>
      <c r="B107" s="1140" t="s">
        <v>6</v>
      </c>
      <c r="C107" s="1141" t="s">
        <v>7</v>
      </c>
      <c r="D107" s="1141" t="s">
        <v>8</v>
      </c>
      <c r="E107" s="1141" t="s">
        <v>9</v>
      </c>
      <c r="F107" s="1140" t="s">
        <v>10</v>
      </c>
      <c r="G107" s="1140" t="s">
        <v>11</v>
      </c>
      <c r="H107" s="1140" t="s">
        <v>12</v>
      </c>
      <c r="I107" s="1140" t="s">
        <v>13</v>
      </c>
      <c r="J107" s="1264" t="s">
        <v>489</v>
      </c>
      <c r="K107" s="1044" t="s">
        <v>14</v>
      </c>
      <c r="L107" s="156" t="s">
        <v>15</v>
      </c>
      <c r="M107" s="157" t="s">
        <v>16</v>
      </c>
      <c r="N107" s="155" t="s">
        <v>17</v>
      </c>
      <c r="O107" s="155" t="s">
        <v>18</v>
      </c>
      <c r="P107" s="155" t="s">
        <v>376</v>
      </c>
      <c r="Q107" s="155" t="s">
        <v>381</v>
      </c>
      <c r="R107" s="155" t="s">
        <v>491</v>
      </c>
      <c r="S107" s="155" t="s">
        <v>492</v>
      </c>
      <c r="T107" s="155" t="s">
        <v>490</v>
      </c>
      <c r="U107" s="158" t="s">
        <v>61</v>
      </c>
      <c r="V107" s="158" t="s">
        <v>469</v>
      </c>
      <c r="W107" s="123"/>
    </row>
    <row r="108" spans="1:23" s="124" customFormat="1" ht="18" hidden="1" customHeight="1">
      <c r="A108" s="121"/>
      <c r="B108" s="122"/>
      <c r="C108" s="151"/>
      <c r="D108" s="151"/>
      <c r="E108" s="151"/>
      <c r="F108" s="122"/>
      <c r="G108" s="122"/>
      <c r="H108" s="122"/>
      <c r="I108" s="122"/>
      <c r="J108" s="122"/>
      <c r="K108" s="122"/>
      <c r="L108" s="1205"/>
      <c r="M108" s="122"/>
      <c r="N108" s="122"/>
      <c r="O108" s="122"/>
      <c r="P108" s="122"/>
      <c r="Q108" s="122"/>
      <c r="R108" s="122"/>
      <c r="S108" s="122"/>
      <c r="T108" s="122"/>
      <c r="U108" s="122"/>
      <c r="V108" s="136"/>
      <c r="W108" s="123"/>
    </row>
    <row r="109" spans="1:23" s="124" customFormat="1" ht="18" hidden="1" customHeight="1">
      <c r="A109" s="121"/>
      <c r="B109" s="122"/>
      <c r="C109" s="151"/>
      <c r="D109" s="151"/>
      <c r="E109" s="151"/>
      <c r="F109" s="122"/>
      <c r="G109" s="122"/>
      <c r="H109" s="122"/>
      <c r="I109" s="122"/>
      <c r="J109" s="122"/>
      <c r="K109" s="122"/>
      <c r="L109" s="1205"/>
      <c r="M109" s="122"/>
      <c r="N109" s="122"/>
      <c r="O109" s="122"/>
      <c r="P109" s="122"/>
      <c r="Q109" s="122"/>
      <c r="R109" s="122"/>
      <c r="S109" s="122"/>
      <c r="T109" s="122"/>
      <c r="U109" s="122"/>
      <c r="V109" s="136"/>
      <c r="W109" s="123"/>
    </row>
    <row r="110" spans="1:23" s="39" customFormat="1" ht="12.75" hidden="1" customHeight="1">
      <c r="A110" s="80"/>
      <c r="B110" s="37"/>
      <c r="C110" s="37"/>
      <c r="D110" s="37"/>
      <c r="E110" s="37"/>
      <c r="F110" s="37"/>
      <c r="G110" s="37"/>
      <c r="H110" s="37"/>
      <c r="I110" s="37">
        <f>+I13+I59</f>
        <v>146216160</v>
      </c>
      <c r="J110" s="37"/>
      <c r="K110" s="37">
        <f t="shared" ref="K110:O111" si="91">+K13+K59</f>
        <v>160018823</v>
      </c>
      <c r="L110" s="1206">
        <f t="shared" si="91"/>
        <v>159379054</v>
      </c>
      <c r="M110" s="37">
        <f t="shared" si="91"/>
        <v>174190535.63999999</v>
      </c>
      <c r="N110" s="37">
        <f t="shared" si="91"/>
        <v>178247548</v>
      </c>
      <c r="O110" s="37">
        <f t="shared" si="91"/>
        <v>170133273</v>
      </c>
      <c r="P110" s="37"/>
      <c r="Q110" s="37"/>
      <c r="R110" s="37"/>
      <c r="S110" s="37"/>
      <c r="T110" s="37"/>
      <c r="U110" s="37"/>
      <c r="W110" s="31"/>
    </row>
    <row r="111" spans="1:23" s="39" customFormat="1" ht="28.5" hidden="1" customHeight="1">
      <c r="A111" s="159"/>
      <c r="B111" s="159"/>
      <c r="C111" s="159"/>
      <c r="D111" s="159"/>
      <c r="E111" s="159"/>
      <c r="F111" s="159"/>
      <c r="G111" s="159"/>
      <c r="H111" s="159"/>
      <c r="I111" s="160">
        <f>+I14+I60</f>
        <v>203307181</v>
      </c>
      <c r="J111" s="160"/>
      <c r="K111" s="160">
        <f t="shared" si="91"/>
        <v>299638064</v>
      </c>
      <c r="L111" s="1207">
        <f t="shared" si="91"/>
        <v>244616763</v>
      </c>
      <c r="M111" s="160">
        <f t="shared" si="91"/>
        <v>150813949</v>
      </c>
      <c r="N111" s="160">
        <f t="shared" si="91"/>
        <v>207891722</v>
      </c>
      <c r="O111" s="160">
        <f t="shared" si="91"/>
        <v>146575629</v>
      </c>
      <c r="P111" s="160"/>
      <c r="Q111" s="160"/>
      <c r="R111" s="160"/>
      <c r="S111" s="160"/>
      <c r="T111" s="160"/>
      <c r="U111" s="159"/>
      <c r="V111" s="159"/>
      <c r="W111" s="31"/>
    </row>
    <row r="112" spans="1:23" s="39" customFormat="1" ht="8.25" hidden="1" customHeight="1" thickBot="1">
      <c r="A112" s="80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1206"/>
      <c r="M112" s="37"/>
      <c r="N112" s="37"/>
      <c r="O112" s="37"/>
      <c r="P112" s="37"/>
      <c r="Q112" s="37"/>
      <c r="R112" s="37"/>
      <c r="S112" s="37"/>
      <c r="T112" s="37"/>
      <c r="U112" s="37"/>
      <c r="W112" s="31"/>
    </row>
    <row r="113" spans="1:23" s="39" customFormat="1" ht="12.75" hidden="1" customHeight="1">
      <c r="A113" s="80"/>
      <c r="B113" s="37"/>
      <c r="C113" s="37"/>
      <c r="D113" s="37"/>
      <c r="E113" s="37"/>
      <c r="F113" s="3974" t="s">
        <v>62</v>
      </c>
      <c r="G113" s="3975"/>
      <c r="H113" s="3975"/>
      <c r="I113" s="161">
        <f>+I114+I115</f>
        <v>349523341</v>
      </c>
      <c r="J113" s="161"/>
      <c r="K113" s="161">
        <f t="shared" ref="K113:U113" si="92">+K114+K115</f>
        <v>459656887</v>
      </c>
      <c r="L113" s="1208">
        <f t="shared" si="92"/>
        <v>403995817</v>
      </c>
      <c r="M113" s="162">
        <f t="shared" si="92"/>
        <v>325004484.63999999</v>
      </c>
      <c r="N113" s="162">
        <f t="shared" si="92"/>
        <v>386139270</v>
      </c>
      <c r="O113" s="162">
        <f>+O114+O115</f>
        <v>316708902</v>
      </c>
      <c r="P113" s="162"/>
      <c r="Q113" s="162"/>
      <c r="R113" s="162"/>
      <c r="S113" s="162"/>
      <c r="T113" s="162"/>
      <c r="U113" s="161">
        <f t="shared" si="92"/>
        <v>3152980968.6399999</v>
      </c>
      <c r="V113" s="163"/>
      <c r="W113" s="31"/>
    </row>
    <row r="114" spans="1:23" s="39" customFormat="1" ht="12.75" hidden="1" customHeight="1">
      <c r="A114" s="80"/>
      <c r="B114" s="37"/>
      <c r="C114" s="37"/>
      <c r="D114" s="37"/>
      <c r="E114" s="37"/>
      <c r="F114" s="3976"/>
      <c r="G114" s="3977"/>
      <c r="H114" s="3977"/>
      <c r="I114" s="164">
        <f>+I13+I59</f>
        <v>146216160</v>
      </c>
      <c r="J114" s="164"/>
      <c r="K114" s="164">
        <f t="shared" ref="K114:O115" si="93">+K13+K59</f>
        <v>160018823</v>
      </c>
      <c r="L114" s="1209">
        <f t="shared" si="93"/>
        <v>159379054</v>
      </c>
      <c r="M114" s="165">
        <f t="shared" si="93"/>
        <v>174190535.63999999</v>
      </c>
      <c r="N114" s="165">
        <f t="shared" si="93"/>
        <v>178247548</v>
      </c>
      <c r="O114" s="165">
        <f t="shared" si="93"/>
        <v>170133273</v>
      </c>
      <c r="P114" s="165"/>
      <c r="Q114" s="165"/>
      <c r="R114" s="165"/>
      <c r="S114" s="165"/>
      <c r="T114" s="165"/>
      <c r="U114" s="164">
        <f>+U13+U59</f>
        <v>1508016007.6399999</v>
      </c>
      <c r="V114" s="166"/>
      <c r="W114" s="31"/>
    </row>
    <row r="115" spans="1:23" s="39" customFormat="1" ht="12.75" hidden="1" customHeight="1" thickBot="1">
      <c r="A115" s="80"/>
      <c r="B115" s="37"/>
      <c r="C115" s="37"/>
      <c r="D115" s="37"/>
      <c r="E115" s="37"/>
      <c r="F115" s="167"/>
      <c r="G115" s="168"/>
      <c r="H115" s="168"/>
      <c r="I115" s="169">
        <f>+I14+I60</f>
        <v>203307181</v>
      </c>
      <c r="J115" s="169"/>
      <c r="K115" s="169">
        <f t="shared" si="93"/>
        <v>299638064</v>
      </c>
      <c r="L115" s="1210">
        <f t="shared" si="93"/>
        <v>244616763</v>
      </c>
      <c r="M115" s="170">
        <f t="shared" si="93"/>
        <v>150813949</v>
      </c>
      <c r="N115" s="170">
        <f t="shared" si="93"/>
        <v>207891722</v>
      </c>
      <c r="O115" s="170">
        <f t="shared" si="93"/>
        <v>146575629</v>
      </c>
      <c r="P115" s="170"/>
      <c r="Q115" s="170"/>
      <c r="R115" s="170"/>
      <c r="S115" s="170"/>
      <c r="T115" s="170"/>
      <c r="U115" s="169">
        <f>+U14+U60</f>
        <v>1644964961</v>
      </c>
      <c r="V115" s="171"/>
      <c r="W115" s="31"/>
    </row>
    <row r="116" spans="1:23" s="39" customFormat="1" ht="21.75" hidden="1" customHeight="1">
      <c r="A116" s="172" t="s">
        <v>63</v>
      </c>
      <c r="B116" s="173" t="e">
        <f t="shared" ref="B116:U116" si="94">+B84+B47</f>
        <v>#REF!</v>
      </c>
      <c r="C116" s="173" t="e">
        <f t="shared" si="94"/>
        <v>#REF!</v>
      </c>
      <c r="D116" s="173" t="e">
        <f t="shared" si="94"/>
        <v>#REF!</v>
      </c>
      <c r="E116" s="173" t="e">
        <f t="shared" si="94"/>
        <v>#REF!</v>
      </c>
      <c r="F116" s="173" t="e">
        <f t="shared" si="94"/>
        <v>#REF!</v>
      </c>
      <c r="G116" s="173" t="e">
        <f t="shared" si="94"/>
        <v>#REF!</v>
      </c>
      <c r="H116" s="173" t="e">
        <f t="shared" si="94"/>
        <v>#REF!</v>
      </c>
      <c r="I116" s="173" t="e">
        <f t="shared" si="94"/>
        <v>#REF!</v>
      </c>
      <c r="J116" s="173"/>
      <c r="K116" s="173">
        <f t="shared" si="94"/>
        <v>459656887</v>
      </c>
      <c r="L116" s="1211">
        <f t="shared" si="94"/>
        <v>403995817</v>
      </c>
      <c r="M116" s="173">
        <f t="shared" si="94"/>
        <v>325004484.63999999</v>
      </c>
      <c r="N116" s="173">
        <f t="shared" si="94"/>
        <v>386139270</v>
      </c>
      <c r="O116" s="173">
        <f t="shared" si="94"/>
        <v>316708902</v>
      </c>
      <c r="P116" s="173"/>
      <c r="Q116" s="173"/>
      <c r="R116" s="173"/>
      <c r="S116" s="173"/>
      <c r="T116" s="173"/>
      <c r="U116" s="173">
        <f t="shared" si="94"/>
        <v>3152980968.9399996</v>
      </c>
      <c r="V116" s="174"/>
      <c r="W116" s="31"/>
    </row>
    <row r="117" spans="1:23" s="39" customFormat="1" ht="9.75" hidden="1" customHeight="1">
      <c r="A117" s="172"/>
      <c r="B117" s="160"/>
      <c r="C117" s="160" t="e">
        <f>+C116-'[2]zał. nr 2'!D89</f>
        <v>#REF!</v>
      </c>
      <c r="D117" s="160" t="e">
        <f>+D116-'[2]zał. nr 2'!E89</f>
        <v>#REF!</v>
      </c>
      <c r="E117" s="160" t="e">
        <f>+E116-'[2]zał. nr 2'!F89</f>
        <v>#REF!</v>
      </c>
      <c r="F117" s="160"/>
      <c r="G117" s="160"/>
      <c r="H117" s="160"/>
      <c r="I117" s="160" t="e">
        <f>+I116-I113</f>
        <v>#REF!</v>
      </c>
      <c r="J117" s="160"/>
      <c r="K117" s="160">
        <f t="shared" ref="K117:U117" si="95">+K116-K113</f>
        <v>0</v>
      </c>
      <c r="L117" s="1207">
        <f t="shared" si="95"/>
        <v>0</v>
      </c>
      <c r="M117" s="160">
        <f t="shared" si="95"/>
        <v>0</v>
      </c>
      <c r="N117" s="160">
        <f t="shared" si="95"/>
        <v>0</v>
      </c>
      <c r="O117" s="160">
        <f t="shared" si="95"/>
        <v>0</v>
      </c>
      <c r="P117" s="160"/>
      <c r="Q117" s="160"/>
      <c r="R117" s="160"/>
      <c r="S117" s="160"/>
      <c r="T117" s="160"/>
      <c r="U117" s="160">
        <f t="shared" si="95"/>
        <v>0.29999971389770508</v>
      </c>
      <c r="V117" s="37"/>
      <c r="W117" s="31"/>
    </row>
    <row r="118" spans="1:23" s="39" customFormat="1" ht="15.75" hidden="1" customHeight="1" thickBot="1">
      <c r="A118" s="172" t="s">
        <v>64</v>
      </c>
      <c r="B118" s="173" t="e">
        <f t="shared" ref="B118:U118" si="96">+B85+B48</f>
        <v>#REF!</v>
      </c>
      <c r="C118" s="173" t="e">
        <f t="shared" si="96"/>
        <v>#REF!</v>
      </c>
      <c r="D118" s="173" t="e">
        <f t="shared" si="96"/>
        <v>#REF!</v>
      </c>
      <c r="E118" s="173" t="e">
        <f t="shared" si="96"/>
        <v>#REF!</v>
      </c>
      <c r="F118" s="173" t="e">
        <f t="shared" si="96"/>
        <v>#REF!</v>
      </c>
      <c r="G118" s="173" t="e">
        <f t="shared" si="96"/>
        <v>#REF!</v>
      </c>
      <c r="H118" s="173" t="e">
        <f t="shared" si="96"/>
        <v>#REF!</v>
      </c>
      <c r="I118" s="173" t="e">
        <f t="shared" si="96"/>
        <v>#REF!</v>
      </c>
      <c r="J118" s="173"/>
      <c r="K118" s="173">
        <f t="shared" si="96"/>
        <v>288394561</v>
      </c>
      <c r="L118" s="1211">
        <f t="shared" si="96"/>
        <v>273247891</v>
      </c>
      <c r="M118" s="173">
        <f t="shared" si="96"/>
        <v>199453099</v>
      </c>
      <c r="N118" s="173">
        <f t="shared" si="96"/>
        <v>239155478</v>
      </c>
      <c r="O118" s="173">
        <f t="shared" si="96"/>
        <v>178818958</v>
      </c>
      <c r="P118" s="173"/>
      <c r="Q118" s="173"/>
      <c r="R118" s="173"/>
      <c r="S118" s="173"/>
      <c r="T118" s="173"/>
      <c r="U118" s="173">
        <f t="shared" si="96"/>
        <v>1925129026</v>
      </c>
      <c r="V118" s="37"/>
      <c r="W118" s="31"/>
    </row>
    <row r="119" spans="1:23" ht="1.5" customHeight="1">
      <c r="A119" s="3970" t="s">
        <v>594</v>
      </c>
      <c r="B119" s="175"/>
      <c r="C119" s="175"/>
      <c r="D119" s="175"/>
      <c r="E119" s="175"/>
      <c r="F119" s="175"/>
      <c r="G119" s="175"/>
      <c r="H119" s="175"/>
      <c r="I119" s="175"/>
      <c r="J119" s="175"/>
      <c r="K119" s="1194"/>
      <c r="L119" s="1212"/>
      <c r="M119" s="1202"/>
      <c r="N119" s="175"/>
      <c r="O119" s="175"/>
      <c r="P119" s="175"/>
      <c r="Q119" s="175"/>
      <c r="R119" s="175"/>
      <c r="S119" s="175"/>
      <c r="T119" s="175"/>
      <c r="U119" s="175"/>
      <c r="V119" s="176"/>
    </row>
    <row r="120" spans="1:23" s="26" customFormat="1" ht="27.75" customHeight="1" thickBot="1">
      <c r="A120" s="3971"/>
      <c r="B120" s="177" t="e">
        <f t="shared" ref="B120:U120" si="97">+B84+B47</f>
        <v>#REF!</v>
      </c>
      <c r="C120" s="178" t="e">
        <f t="shared" si="97"/>
        <v>#REF!</v>
      </c>
      <c r="D120" s="178" t="e">
        <f t="shared" si="97"/>
        <v>#REF!</v>
      </c>
      <c r="E120" s="178" t="e">
        <f t="shared" si="97"/>
        <v>#REF!</v>
      </c>
      <c r="F120" s="177" t="e">
        <f t="shared" si="97"/>
        <v>#REF!</v>
      </c>
      <c r="G120" s="177" t="e">
        <f t="shared" si="97"/>
        <v>#REF!</v>
      </c>
      <c r="H120" s="177" t="e">
        <f t="shared" si="97"/>
        <v>#REF!</v>
      </c>
      <c r="I120" s="177" t="e">
        <f t="shared" si="97"/>
        <v>#REF!</v>
      </c>
      <c r="J120" s="177">
        <f>+J84+J47</f>
        <v>1308525750.3</v>
      </c>
      <c r="K120" s="1195">
        <f t="shared" si="97"/>
        <v>459656887</v>
      </c>
      <c r="L120" s="1213">
        <f t="shared" si="97"/>
        <v>403995817</v>
      </c>
      <c r="M120" s="1203">
        <f t="shared" si="97"/>
        <v>325004484.63999999</v>
      </c>
      <c r="N120" s="177">
        <f t="shared" si="97"/>
        <v>386139270</v>
      </c>
      <c r="O120" s="177">
        <f t="shared" si="97"/>
        <v>316708902</v>
      </c>
      <c r="P120" s="177">
        <f t="shared" si="97"/>
        <v>163811344</v>
      </c>
      <c r="Q120" s="177">
        <f t="shared" si="97"/>
        <v>135386278</v>
      </c>
      <c r="R120" s="177">
        <f t="shared" ref="R120:T120" si="98">+R84+R47</f>
        <v>38655180</v>
      </c>
      <c r="S120" s="177">
        <f t="shared" si="98"/>
        <v>35982384</v>
      </c>
      <c r="T120" s="177">
        <f t="shared" si="98"/>
        <v>35207269</v>
      </c>
      <c r="U120" s="177">
        <f t="shared" si="97"/>
        <v>3152980968.9399996</v>
      </c>
      <c r="V120" s="179">
        <f>+V84+V47</f>
        <v>1440459401.6399999</v>
      </c>
      <c r="W120" s="25"/>
    </row>
    <row r="121" spans="1:23">
      <c r="A121" s="180" t="s">
        <v>65</v>
      </c>
      <c r="B121" s="181" t="e">
        <f t="shared" ref="B121:V121" si="99">+B18+B64+B26</f>
        <v>#REF!</v>
      </c>
      <c r="C121" s="181" t="e">
        <f t="shared" si="99"/>
        <v>#REF!</v>
      </c>
      <c r="D121" s="181" t="e">
        <f t="shared" si="99"/>
        <v>#REF!</v>
      </c>
      <c r="E121" s="181" t="e">
        <f t="shared" si="99"/>
        <v>#REF!</v>
      </c>
      <c r="F121" s="181" t="e">
        <f t="shared" si="99"/>
        <v>#REF!</v>
      </c>
      <c r="G121" s="181" t="e">
        <f t="shared" si="99"/>
        <v>#REF!</v>
      </c>
      <c r="H121" s="181" t="e">
        <f t="shared" si="99"/>
        <v>#REF!</v>
      </c>
      <c r="I121" s="181" t="e">
        <f t="shared" si="99"/>
        <v>#REF!</v>
      </c>
      <c r="J121" s="181">
        <f t="shared" si="99"/>
        <v>392897480.30000001</v>
      </c>
      <c r="K121" s="1196">
        <f t="shared" si="99"/>
        <v>139701665</v>
      </c>
      <c r="L121" s="1214">
        <f t="shared" si="99"/>
        <v>123042126</v>
      </c>
      <c r="M121" s="1204">
        <f t="shared" si="99"/>
        <v>165611607.63999999</v>
      </c>
      <c r="N121" s="181">
        <f t="shared" si="99"/>
        <v>153199874</v>
      </c>
      <c r="O121" s="181">
        <f t="shared" si="99"/>
        <v>154390173</v>
      </c>
      <c r="P121" s="181">
        <f t="shared" si="99"/>
        <v>96882893</v>
      </c>
      <c r="Q121" s="181">
        <f t="shared" si="99"/>
        <v>89465441</v>
      </c>
      <c r="R121" s="181">
        <f t="shared" si="99"/>
        <v>8080661</v>
      </c>
      <c r="S121" s="181">
        <f t="shared" si="99"/>
        <v>5741835</v>
      </c>
      <c r="T121" s="181">
        <f t="shared" si="99"/>
        <v>4864523</v>
      </c>
      <c r="U121" s="183">
        <f t="shared" si="99"/>
        <v>1197740903.9400001</v>
      </c>
      <c r="V121" s="182">
        <f t="shared" si="99"/>
        <v>681801297.63999999</v>
      </c>
    </row>
    <row r="122" spans="1:23">
      <c r="A122" s="180" t="s">
        <v>66</v>
      </c>
      <c r="B122" s="183">
        <f t="shared" ref="B122:O122" si="100">+B67</f>
        <v>3621827</v>
      </c>
      <c r="C122" s="183">
        <f t="shared" si="100"/>
        <v>0</v>
      </c>
      <c r="D122" s="183">
        <f t="shared" si="100"/>
        <v>27000</v>
      </c>
      <c r="E122" s="183">
        <f t="shared" si="100"/>
        <v>3348880.0600000005</v>
      </c>
      <c r="F122" s="183">
        <f t="shared" si="100"/>
        <v>6819986</v>
      </c>
      <c r="G122" s="183">
        <f t="shared" si="100"/>
        <v>10846424</v>
      </c>
      <c r="H122" s="183">
        <f t="shared" si="100"/>
        <v>13251483</v>
      </c>
      <c r="I122" s="183">
        <f t="shared" si="100"/>
        <v>4701687</v>
      </c>
      <c r="J122" s="183">
        <f t="shared" ref="J122" si="101">+J67</f>
        <v>67019692</v>
      </c>
      <c r="K122" s="1197">
        <f t="shared" si="100"/>
        <v>27778285</v>
      </c>
      <c r="L122" s="1215">
        <f t="shared" si="100"/>
        <v>40904911</v>
      </c>
      <c r="M122" s="184">
        <f t="shared" si="100"/>
        <v>5039601</v>
      </c>
      <c r="N122" s="183">
        <f t="shared" si="100"/>
        <v>0</v>
      </c>
      <c r="O122" s="183">
        <f t="shared" si="100"/>
        <v>0</v>
      </c>
      <c r="P122" s="183">
        <f t="shared" ref="P122:Q122" si="102">+P67</f>
        <v>0</v>
      </c>
      <c r="Q122" s="183">
        <f t="shared" si="102"/>
        <v>0</v>
      </c>
      <c r="R122" s="183">
        <f t="shared" ref="R122:T122" si="103">+R67</f>
        <v>0</v>
      </c>
      <c r="S122" s="183">
        <f t="shared" si="103"/>
        <v>0</v>
      </c>
      <c r="T122" s="183">
        <f t="shared" si="103"/>
        <v>0</v>
      </c>
      <c r="U122" s="183">
        <f>+U67</f>
        <v>112964204</v>
      </c>
      <c r="V122" s="185">
        <f>+V67</f>
        <v>5039601</v>
      </c>
    </row>
    <row r="123" spans="1:23">
      <c r="A123" s="186" t="s">
        <v>25</v>
      </c>
      <c r="B123" s="183">
        <f t="shared" ref="B123:V123" si="104">+B19+B69</f>
        <v>66154</v>
      </c>
      <c r="C123" s="183">
        <f t="shared" si="104"/>
        <v>2052</v>
      </c>
      <c r="D123" s="183">
        <f t="shared" si="104"/>
        <v>116662</v>
      </c>
      <c r="E123" s="183">
        <f t="shared" si="104"/>
        <v>246992</v>
      </c>
      <c r="F123" s="183">
        <f t="shared" si="104"/>
        <v>78146</v>
      </c>
      <c r="G123" s="183">
        <f t="shared" si="104"/>
        <v>8343764</v>
      </c>
      <c r="H123" s="183">
        <f t="shared" si="104"/>
        <v>2336974</v>
      </c>
      <c r="I123" s="183">
        <f t="shared" si="104"/>
        <v>4691715</v>
      </c>
      <c r="J123" s="183">
        <f t="shared" si="104"/>
        <v>34012985</v>
      </c>
      <c r="K123" s="1197">
        <f t="shared" si="104"/>
        <v>18542654</v>
      </c>
      <c r="L123" s="1215">
        <f t="shared" si="104"/>
        <v>33377044</v>
      </c>
      <c r="M123" s="184">
        <f t="shared" si="104"/>
        <v>8991635</v>
      </c>
      <c r="N123" s="183">
        <f t="shared" si="104"/>
        <v>1856905</v>
      </c>
      <c r="O123" s="183">
        <f t="shared" si="104"/>
        <v>1402509</v>
      </c>
      <c r="P123" s="183">
        <f t="shared" si="104"/>
        <v>1134250</v>
      </c>
      <c r="Q123" s="183">
        <f t="shared" si="104"/>
        <v>210000</v>
      </c>
      <c r="R123" s="183">
        <f t="shared" si="104"/>
        <v>0</v>
      </c>
      <c r="S123" s="183">
        <f t="shared" si="104"/>
        <v>0</v>
      </c>
      <c r="T123" s="183">
        <f t="shared" si="104"/>
        <v>0</v>
      </c>
      <c r="U123" s="183">
        <f t="shared" si="104"/>
        <v>80985328</v>
      </c>
      <c r="V123" s="187">
        <f t="shared" si="104"/>
        <v>13595299</v>
      </c>
    </row>
    <row r="124" spans="1:23" ht="24">
      <c r="A124" s="186" t="s">
        <v>67</v>
      </c>
      <c r="B124" s="183">
        <f t="shared" ref="B124:V124" si="105">+B20+B71</f>
        <v>5935894</v>
      </c>
      <c r="C124" s="183">
        <f t="shared" si="105"/>
        <v>0</v>
      </c>
      <c r="D124" s="183">
        <f t="shared" si="105"/>
        <v>0</v>
      </c>
      <c r="E124" s="183">
        <f t="shared" si="105"/>
        <v>6647405</v>
      </c>
      <c r="F124" s="183">
        <f t="shared" si="105"/>
        <v>10285500</v>
      </c>
      <c r="G124" s="183">
        <f t="shared" si="105"/>
        <v>12796084</v>
      </c>
      <c r="H124" s="183">
        <f t="shared" si="105"/>
        <v>12744811</v>
      </c>
      <c r="I124" s="183">
        <f t="shared" si="105"/>
        <v>9659941</v>
      </c>
      <c r="J124" s="183">
        <f t="shared" si="105"/>
        <v>61303761</v>
      </c>
      <c r="K124" s="1197">
        <f t="shared" si="105"/>
        <v>9881531</v>
      </c>
      <c r="L124" s="1215">
        <f t="shared" si="105"/>
        <v>4275235</v>
      </c>
      <c r="M124" s="184">
        <f t="shared" si="105"/>
        <v>0</v>
      </c>
      <c r="N124" s="183">
        <f t="shared" si="105"/>
        <v>0</v>
      </c>
      <c r="O124" s="183">
        <f t="shared" si="105"/>
        <v>0</v>
      </c>
      <c r="P124" s="183">
        <f t="shared" si="105"/>
        <v>0</v>
      </c>
      <c r="Q124" s="183">
        <f t="shared" si="105"/>
        <v>0</v>
      </c>
      <c r="R124" s="183">
        <f t="shared" si="105"/>
        <v>0</v>
      </c>
      <c r="S124" s="183">
        <f t="shared" si="105"/>
        <v>0</v>
      </c>
      <c r="T124" s="183">
        <f t="shared" si="105"/>
        <v>0</v>
      </c>
      <c r="U124" s="183">
        <f t="shared" si="105"/>
        <v>65578996</v>
      </c>
      <c r="V124" s="188">
        <f t="shared" si="105"/>
        <v>0</v>
      </c>
      <c r="W124" s="336">
        <f>+U124+U129</f>
        <v>111375883</v>
      </c>
    </row>
    <row r="125" spans="1:23">
      <c r="A125" s="186" t="s">
        <v>27</v>
      </c>
      <c r="B125" s="183">
        <f t="shared" ref="B125:V125" si="106">+B21+B68</f>
        <v>279786</v>
      </c>
      <c r="C125" s="183">
        <f t="shared" si="106"/>
        <v>0</v>
      </c>
      <c r="D125" s="183">
        <f t="shared" si="106"/>
        <v>0</v>
      </c>
      <c r="E125" s="183">
        <f t="shared" si="106"/>
        <v>279786</v>
      </c>
      <c r="F125" s="183">
        <f t="shared" si="106"/>
        <v>2494494</v>
      </c>
      <c r="G125" s="183">
        <f t="shared" si="106"/>
        <v>4145000</v>
      </c>
      <c r="H125" s="183">
        <f t="shared" si="106"/>
        <v>8232289</v>
      </c>
      <c r="I125" s="183">
        <f t="shared" si="106"/>
        <v>3712896</v>
      </c>
      <c r="J125" s="183">
        <f t="shared" si="106"/>
        <v>24930022</v>
      </c>
      <c r="K125" s="1197">
        <f t="shared" si="106"/>
        <v>6065557</v>
      </c>
      <c r="L125" s="1215">
        <f t="shared" si="106"/>
        <v>2081313</v>
      </c>
      <c r="M125" s="184">
        <f t="shared" si="106"/>
        <v>1398414</v>
      </c>
      <c r="N125" s="183">
        <f t="shared" si="106"/>
        <v>0</v>
      </c>
      <c r="O125" s="183">
        <f t="shared" si="106"/>
        <v>0</v>
      </c>
      <c r="P125" s="183">
        <f t="shared" si="106"/>
        <v>0</v>
      </c>
      <c r="Q125" s="183">
        <f t="shared" si="106"/>
        <v>0</v>
      </c>
      <c r="R125" s="183">
        <f t="shared" si="106"/>
        <v>0</v>
      </c>
      <c r="S125" s="183">
        <f t="shared" si="106"/>
        <v>0</v>
      </c>
      <c r="T125" s="183">
        <f t="shared" si="106"/>
        <v>0</v>
      </c>
      <c r="U125" s="183">
        <f t="shared" si="106"/>
        <v>28409749</v>
      </c>
      <c r="V125" s="189">
        <f t="shared" si="106"/>
        <v>1398414</v>
      </c>
    </row>
    <row r="126" spans="1:23">
      <c r="A126" s="186" t="s">
        <v>68</v>
      </c>
      <c r="B126" s="183">
        <f t="shared" ref="B126:V126" si="107">+B22+B65</f>
        <v>0</v>
      </c>
      <c r="C126" s="183">
        <f t="shared" si="107"/>
        <v>0</v>
      </c>
      <c r="D126" s="183">
        <f t="shared" si="107"/>
        <v>0</v>
      </c>
      <c r="E126" s="183">
        <f t="shared" si="107"/>
        <v>0</v>
      </c>
      <c r="F126" s="183">
        <f t="shared" si="107"/>
        <v>0</v>
      </c>
      <c r="G126" s="183">
        <f t="shared" si="107"/>
        <v>0</v>
      </c>
      <c r="H126" s="183">
        <f t="shared" si="107"/>
        <v>3801777</v>
      </c>
      <c r="I126" s="183">
        <f t="shared" si="107"/>
        <v>13701339</v>
      </c>
      <c r="J126" s="183">
        <f t="shared" si="107"/>
        <v>31089366</v>
      </c>
      <c r="K126" s="1197">
        <f t="shared" si="107"/>
        <v>13586250</v>
      </c>
      <c r="L126" s="1215">
        <f t="shared" si="107"/>
        <v>6942000</v>
      </c>
      <c r="M126" s="184">
        <f t="shared" si="107"/>
        <v>12099643</v>
      </c>
      <c r="N126" s="183">
        <f t="shared" si="107"/>
        <v>22748341</v>
      </c>
      <c r="O126" s="183">
        <f t="shared" si="107"/>
        <v>8696585</v>
      </c>
      <c r="P126" s="183">
        <f t="shared" si="107"/>
        <v>3328200</v>
      </c>
      <c r="Q126" s="183">
        <f t="shared" si="107"/>
        <v>1394500</v>
      </c>
      <c r="R126" s="183">
        <f t="shared" si="107"/>
        <v>0</v>
      </c>
      <c r="S126" s="183">
        <f t="shared" si="107"/>
        <v>0</v>
      </c>
      <c r="T126" s="183">
        <f t="shared" si="107"/>
        <v>0</v>
      </c>
      <c r="U126" s="183">
        <f t="shared" si="107"/>
        <v>86298635</v>
      </c>
      <c r="V126" s="189">
        <f t="shared" si="107"/>
        <v>48267269</v>
      </c>
    </row>
    <row r="127" spans="1:23">
      <c r="A127" s="186" t="s">
        <v>32</v>
      </c>
      <c r="B127" s="183">
        <f t="shared" ref="B127:U127" si="108">+B28</f>
        <v>0</v>
      </c>
      <c r="C127" s="183">
        <f t="shared" si="108"/>
        <v>0</v>
      </c>
      <c r="D127" s="183">
        <f t="shared" si="108"/>
        <v>0</v>
      </c>
      <c r="E127" s="183">
        <f t="shared" si="108"/>
        <v>0</v>
      </c>
      <c r="F127" s="183">
        <f t="shared" si="108"/>
        <v>0</v>
      </c>
      <c r="G127" s="183">
        <f t="shared" si="108"/>
        <v>629249</v>
      </c>
      <c r="H127" s="183">
        <f t="shared" si="108"/>
        <v>2188317</v>
      </c>
      <c r="I127" s="183">
        <f t="shared" si="108"/>
        <v>1133237</v>
      </c>
      <c r="J127" s="183">
        <f t="shared" ref="J127" si="109">+J28</f>
        <v>7176275</v>
      </c>
      <c r="K127" s="1197">
        <f t="shared" si="108"/>
        <v>3225472</v>
      </c>
      <c r="L127" s="1215">
        <f t="shared" si="108"/>
        <v>5041379</v>
      </c>
      <c r="M127" s="184">
        <f t="shared" si="108"/>
        <v>4573083</v>
      </c>
      <c r="N127" s="183">
        <f t="shared" si="108"/>
        <v>2687918</v>
      </c>
      <c r="O127" s="183">
        <f t="shared" si="108"/>
        <v>98077</v>
      </c>
      <c r="P127" s="183">
        <f t="shared" ref="P127:Q127" si="110">+P28</f>
        <v>18348</v>
      </c>
      <c r="Q127" s="183">
        <f t="shared" si="110"/>
        <v>0</v>
      </c>
      <c r="R127" s="183">
        <f t="shared" ref="R127:T127" si="111">+R28</f>
        <v>0</v>
      </c>
      <c r="S127" s="183">
        <f t="shared" si="111"/>
        <v>0</v>
      </c>
      <c r="T127" s="183">
        <f t="shared" si="111"/>
        <v>0</v>
      </c>
      <c r="U127" s="183">
        <f t="shared" si="108"/>
        <v>19595080</v>
      </c>
      <c r="V127" s="189">
        <f>+V28</f>
        <v>7377426</v>
      </c>
    </row>
    <row r="128" spans="1:23">
      <c r="A128" s="186" t="s">
        <v>29</v>
      </c>
      <c r="B128" s="183">
        <f t="shared" ref="B128:V128" si="112">+B23</f>
        <v>206750</v>
      </c>
      <c r="C128" s="183">
        <f t="shared" si="112"/>
        <v>0</v>
      </c>
      <c r="D128" s="183">
        <f t="shared" si="112"/>
        <v>34561</v>
      </c>
      <c r="E128" s="183">
        <f t="shared" si="112"/>
        <v>156078</v>
      </c>
      <c r="F128" s="183">
        <f t="shared" si="112"/>
        <v>496958</v>
      </c>
      <c r="G128" s="183">
        <f t="shared" si="112"/>
        <v>20446073</v>
      </c>
      <c r="H128" s="183">
        <f t="shared" si="112"/>
        <v>4976802</v>
      </c>
      <c r="I128" s="183">
        <f t="shared" si="112"/>
        <v>1961906</v>
      </c>
      <c r="J128" s="183">
        <f t="shared" si="112"/>
        <v>29682658</v>
      </c>
      <c r="K128" s="1197">
        <f t="shared" si="112"/>
        <v>1594169</v>
      </c>
      <c r="L128" s="1215">
        <f t="shared" si="112"/>
        <v>3031</v>
      </c>
      <c r="M128" s="184">
        <f t="shared" si="112"/>
        <v>0</v>
      </c>
      <c r="N128" s="183">
        <f t="shared" si="112"/>
        <v>0</v>
      </c>
      <c r="O128" s="183">
        <f t="shared" si="112"/>
        <v>0</v>
      </c>
      <c r="P128" s="183">
        <f t="shared" si="112"/>
        <v>0</v>
      </c>
      <c r="Q128" s="183">
        <f t="shared" si="112"/>
        <v>0</v>
      </c>
      <c r="R128" s="183">
        <f t="shared" si="112"/>
        <v>0</v>
      </c>
      <c r="S128" s="183">
        <f t="shared" si="112"/>
        <v>0</v>
      </c>
      <c r="T128" s="183">
        <f t="shared" si="112"/>
        <v>0</v>
      </c>
      <c r="U128" s="183">
        <f t="shared" si="112"/>
        <v>29685689</v>
      </c>
      <c r="V128" s="189">
        <f t="shared" si="112"/>
        <v>0</v>
      </c>
    </row>
    <row r="129" spans="1:22" ht="16.5" customHeight="1">
      <c r="A129" s="186" t="s">
        <v>69</v>
      </c>
      <c r="B129" s="183">
        <f t="shared" ref="B129:U129" si="113">+B29</f>
        <v>10594223</v>
      </c>
      <c r="C129" s="183">
        <f t="shared" si="113"/>
        <v>0</v>
      </c>
      <c r="D129" s="183">
        <f t="shared" si="113"/>
        <v>0</v>
      </c>
      <c r="E129" s="183">
        <f t="shared" si="113"/>
        <v>3058368</v>
      </c>
      <c r="F129" s="183">
        <f t="shared" si="113"/>
        <v>17692550</v>
      </c>
      <c r="G129" s="183">
        <f t="shared" si="113"/>
        <v>2998223</v>
      </c>
      <c r="H129" s="183">
        <f t="shared" si="113"/>
        <v>3753212</v>
      </c>
      <c r="I129" s="183">
        <f t="shared" si="113"/>
        <v>4711864</v>
      </c>
      <c r="J129" s="183">
        <f t="shared" ref="J129" si="114">+J29</f>
        <v>44183146</v>
      </c>
      <c r="K129" s="1197">
        <f t="shared" si="113"/>
        <v>4433074</v>
      </c>
      <c r="L129" s="1215">
        <f t="shared" si="113"/>
        <v>1613741</v>
      </c>
      <c r="M129" s="184">
        <f t="shared" si="113"/>
        <v>0</v>
      </c>
      <c r="N129" s="183">
        <f t="shared" si="113"/>
        <v>0</v>
      </c>
      <c r="O129" s="183">
        <f t="shared" si="113"/>
        <v>0</v>
      </c>
      <c r="P129" s="183">
        <f t="shared" ref="P129:Q129" si="115">+P29</f>
        <v>0</v>
      </c>
      <c r="Q129" s="183">
        <f t="shared" si="115"/>
        <v>0</v>
      </c>
      <c r="R129" s="183">
        <f t="shared" ref="R129:T129" si="116">+R29</f>
        <v>0</v>
      </c>
      <c r="S129" s="183">
        <f t="shared" si="116"/>
        <v>0</v>
      </c>
      <c r="T129" s="183">
        <f t="shared" si="116"/>
        <v>0</v>
      </c>
      <c r="U129" s="183">
        <f t="shared" si="113"/>
        <v>45796887</v>
      </c>
      <c r="V129" s="189">
        <f>+V29</f>
        <v>0</v>
      </c>
    </row>
    <row r="130" spans="1:22" ht="16.5" customHeight="1">
      <c r="A130" s="186" t="s">
        <v>31</v>
      </c>
      <c r="B130" s="183">
        <f t="shared" ref="B130:U130" si="117">+B27</f>
        <v>0</v>
      </c>
      <c r="C130" s="183">
        <f t="shared" si="117"/>
        <v>0</v>
      </c>
      <c r="D130" s="183">
        <f t="shared" si="117"/>
        <v>0</v>
      </c>
      <c r="E130" s="183">
        <f t="shared" si="117"/>
        <v>0</v>
      </c>
      <c r="F130" s="183">
        <f t="shared" si="117"/>
        <v>0</v>
      </c>
      <c r="G130" s="183">
        <f t="shared" si="117"/>
        <v>0</v>
      </c>
      <c r="H130" s="183">
        <f t="shared" si="117"/>
        <v>0</v>
      </c>
      <c r="I130" s="183">
        <f t="shared" si="117"/>
        <v>0</v>
      </c>
      <c r="J130" s="183">
        <f t="shared" ref="J130" si="118">+J27</f>
        <v>0</v>
      </c>
      <c r="K130" s="1197">
        <f t="shared" si="117"/>
        <v>0</v>
      </c>
      <c r="L130" s="1215">
        <f t="shared" si="117"/>
        <v>0</v>
      </c>
      <c r="M130" s="184">
        <f t="shared" si="117"/>
        <v>0</v>
      </c>
      <c r="N130" s="183">
        <f t="shared" si="117"/>
        <v>0</v>
      </c>
      <c r="O130" s="183">
        <f t="shared" si="117"/>
        <v>0</v>
      </c>
      <c r="P130" s="183">
        <f t="shared" ref="P130:Q130" si="119">+P27</f>
        <v>0</v>
      </c>
      <c r="Q130" s="183">
        <f t="shared" si="119"/>
        <v>0</v>
      </c>
      <c r="R130" s="183">
        <f t="shared" ref="R130:T130" si="120">+R27</f>
        <v>0</v>
      </c>
      <c r="S130" s="183">
        <f t="shared" si="120"/>
        <v>0</v>
      </c>
      <c r="T130" s="183">
        <f t="shared" si="120"/>
        <v>0</v>
      </c>
      <c r="U130" s="183">
        <f t="shared" si="117"/>
        <v>0</v>
      </c>
      <c r="V130" s="190">
        <f>+V27</f>
        <v>0</v>
      </c>
    </row>
    <row r="131" spans="1:22" ht="13.5" thickBot="1">
      <c r="A131" s="191" t="s">
        <v>33</v>
      </c>
      <c r="B131" s="192" t="e">
        <f t="shared" ref="B131:O131" si="121">+B30</f>
        <v>#REF!</v>
      </c>
      <c r="C131" s="192" t="e">
        <f t="shared" si="121"/>
        <v>#REF!</v>
      </c>
      <c r="D131" s="192" t="e">
        <f t="shared" si="121"/>
        <v>#REF!</v>
      </c>
      <c r="E131" s="192" t="e">
        <f t="shared" si="121"/>
        <v>#REF!</v>
      </c>
      <c r="F131" s="192" t="e">
        <f t="shared" si="121"/>
        <v>#REF!</v>
      </c>
      <c r="G131" s="192" t="e">
        <f t="shared" si="121"/>
        <v>#REF!</v>
      </c>
      <c r="H131" s="192" t="e">
        <f t="shared" si="121"/>
        <v>#REF!</v>
      </c>
      <c r="I131" s="192" t="e">
        <f t="shared" si="121"/>
        <v>#REF!</v>
      </c>
      <c r="J131" s="192">
        <f t="shared" ref="J131" si="122">+J30</f>
        <v>616230365</v>
      </c>
      <c r="K131" s="1198">
        <f t="shared" si="121"/>
        <v>234848230</v>
      </c>
      <c r="L131" s="1216">
        <f t="shared" si="121"/>
        <v>186715037</v>
      </c>
      <c r="M131" s="193">
        <f t="shared" si="121"/>
        <v>127290501</v>
      </c>
      <c r="N131" s="1189">
        <f t="shared" si="121"/>
        <v>205646232</v>
      </c>
      <c r="O131" s="194">
        <f t="shared" si="121"/>
        <v>152121558</v>
      </c>
      <c r="P131" s="194">
        <f t="shared" ref="P131:Q131" si="123">+P30</f>
        <v>62447653</v>
      </c>
      <c r="Q131" s="194">
        <f t="shared" si="123"/>
        <v>44316337</v>
      </c>
      <c r="R131" s="194">
        <f t="shared" ref="R131:T131" si="124">+R30</f>
        <v>30574519</v>
      </c>
      <c r="S131" s="194">
        <f t="shared" si="124"/>
        <v>30240549</v>
      </c>
      <c r="T131" s="194">
        <f t="shared" si="124"/>
        <v>30342746</v>
      </c>
      <c r="U131" s="194">
        <f>+U30</f>
        <v>1485925497</v>
      </c>
      <c r="V131" s="194">
        <f>+V30</f>
        <v>1443800</v>
      </c>
    </row>
    <row r="132" spans="1:22">
      <c r="A132" s="195">
        <f>+B122+F122</f>
        <v>10441813</v>
      </c>
      <c r="B132" s="196" t="e">
        <f t="shared" ref="B132:U132" si="125">SUM(B121:B131)</f>
        <v>#REF!</v>
      </c>
      <c r="C132" s="197" t="e">
        <f t="shared" si="125"/>
        <v>#REF!</v>
      </c>
      <c r="D132" s="197" t="e">
        <f t="shared" si="125"/>
        <v>#REF!</v>
      </c>
      <c r="E132" s="197" t="e">
        <f t="shared" si="125"/>
        <v>#REF!</v>
      </c>
      <c r="F132" s="196" t="e">
        <f t="shared" si="125"/>
        <v>#REF!</v>
      </c>
      <c r="G132" s="198" t="e">
        <f t="shared" si="125"/>
        <v>#REF!</v>
      </c>
      <c r="H132" s="199" t="e">
        <f t="shared" si="125"/>
        <v>#REF!</v>
      </c>
      <c r="I132" s="199" t="e">
        <f t="shared" si="125"/>
        <v>#REF!</v>
      </c>
      <c r="J132" s="199">
        <f t="shared" ref="J132" si="126">SUM(J121:J131)</f>
        <v>1308525750.3</v>
      </c>
      <c r="K132" s="196">
        <f>SUM(K121:K131)</f>
        <v>459656887</v>
      </c>
      <c r="L132" s="1217">
        <f>SUM(L121:L131)</f>
        <v>403995817</v>
      </c>
      <c r="M132" s="196">
        <f t="shared" si="125"/>
        <v>325004484.63999999</v>
      </c>
      <c r="N132" s="196">
        <f>SUM(N121:N131)</f>
        <v>386139270</v>
      </c>
      <c r="O132" s="196">
        <f>SUM(O121:O131)</f>
        <v>316708902</v>
      </c>
      <c r="P132" s="196">
        <f t="shared" ref="P132:Q132" si="127">SUM(P121:P131)</f>
        <v>163811344</v>
      </c>
      <c r="Q132" s="196">
        <f t="shared" si="127"/>
        <v>135386278</v>
      </c>
      <c r="R132" s="196">
        <f t="shared" ref="R132:T132" si="128">SUM(R121:R131)</f>
        <v>38655180</v>
      </c>
      <c r="S132" s="196">
        <f t="shared" si="128"/>
        <v>35982384</v>
      </c>
      <c r="T132" s="196">
        <f t="shared" si="128"/>
        <v>35207269</v>
      </c>
      <c r="U132" s="196">
        <f t="shared" si="125"/>
        <v>3152980968.9400001</v>
      </c>
      <c r="V132" s="196">
        <f>SUM(V121:V131)</f>
        <v>758923106.63999999</v>
      </c>
    </row>
    <row r="133" spans="1:22" ht="18" customHeight="1" thickBot="1">
      <c r="A133" s="200"/>
      <c r="B133" s="201" t="e">
        <f t="shared" ref="B133:U133" si="129">+B132-B87</f>
        <v>#REF!</v>
      </c>
      <c r="C133" s="201" t="e">
        <f t="shared" si="129"/>
        <v>#REF!</v>
      </c>
      <c r="D133" s="201" t="e">
        <f t="shared" si="129"/>
        <v>#REF!</v>
      </c>
      <c r="E133" s="201" t="e">
        <f>+E132-E87</f>
        <v>#REF!</v>
      </c>
      <c r="F133" s="201" t="e">
        <f t="shared" si="129"/>
        <v>#REF!</v>
      </c>
      <c r="G133" s="201" t="e">
        <f t="shared" si="129"/>
        <v>#REF!</v>
      </c>
      <c r="H133" s="201" t="e">
        <f t="shared" si="129"/>
        <v>#REF!</v>
      </c>
      <c r="I133" s="201" t="e">
        <f t="shared" si="129"/>
        <v>#REF!</v>
      </c>
      <c r="J133" s="201">
        <f t="shared" ref="J133" si="130">+J132-J87</f>
        <v>0.29999995231628418</v>
      </c>
      <c r="K133" s="201">
        <f t="shared" si="129"/>
        <v>0</v>
      </c>
      <c r="L133" s="1218">
        <f t="shared" si="129"/>
        <v>0</v>
      </c>
      <c r="M133" s="201">
        <f t="shared" si="129"/>
        <v>0</v>
      </c>
      <c r="N133" s="201">
        <f t="shared" si="129"/>
        <v>0</v>
      </c>
      <c r="O133" s="201">
        <f t="shared" si="129"/>
        <v>0</v>
      </c>
      <c r="P133" s="201">
        <f t="shared" ref="P133:Q133" si="131">+P132-P87</f>
        <v>0</v>
      </c>
      <c r="Q133" s="201">
        <f t="shared" si="131"/>
        <v>0</v>
      </c>
      <c r="R133" s="201"/>
      <c r="S133" s="201"/>
      <c r="T133" s="201"/>
      <c r="U133" s="201">
        <f t="shared" si="129"/>
        <v>0.30000019073486328</v>
      </c>
      <c r="V133" s="201"/>
    </row>
    <row r="134" spans="1:22" ht="30" customHeight="1" thickBot="1">
      <c r="A134" s="202" t="s">
        <v>593</v>
      </c>
      <c r="B134" s="203" t="e">
        <f t="shared" ref="B134:U134" si="132">+B85+B48</f>
        <v>#REF!</v>
      </c>
      <c r="C134" s="204" t="e">
        <f t="shared" si="132"/>
        <v>#REF!</v>
      </c>
      <c r="D134" s="204" t="e">
        <f t="shared" si="132"/>
        <v>#REF!</v>
      </c>
      <c r="E134" s="204" t="e">
        <f t="shared" si="132"/>
        <v>#REF!</v>
      </c>
      <c r="F134" s="203" t="e">
        <f t="shared" si="132"/>
        <v>#REF!</v>
      </c>
      <c r="G134" s="203" t="e">
        <f t="shared" si="132"/>
        <v>#REF!</v>
      </c>
      <c r="H134" s="203" t="e">
        <f t="shared" si="132"/>
        <v>#REF!</v>
      </c>
      <c r="I134" s="203" t="e">
        <f t="shared" si="132"/>
        <v>#REF!</v>
      </c>
      <c r="J134" s="1674">
        <f t="shared" ref="J134" si="133">+J85+J48</f>
        <v>830267063</v>
      </c>
      <c r="K134" s="1675">
        <f t="shared" si="132"/>
        <v>288394561</v>
      </c>
      <c r="L134" s="1676">
        <f t="shared" si="132"/>
        <v>273247891</v>
      </c>
      <c r="M134" s="1677">
        <f t="shared" si="132"/>
        <v>199453099</v>
      </c>
      <c r="N134" s="1674">
        <f t="shared" si="132"/>
        <v>239155478</v>
      </c>
      <c r="O134" s="1674">
        <f t="shared" si="132"/>
        <v>178818958</v>
      </c>
      <c r="P134" s="1674">
        <f t="shared" ref="P134:Q134" si="134">+P85+P48</f>
        <v>67493975</v>
      </c>
      <c r="Q134" s="1674">
        <f t="shared" si="134"/>
        <v>45534748</v>
      </c>
      <c r="R134" s="1674">
        <f t="shared" ref="R134:T134" si="135">+R85+R48</f>
        <v>30574519</v>
      </c>
      <c r="S134" s="1674">
        <f t="shared" si="135"/>
        <v>30240549</v>
      </c>
      <c r="T134" s="1674">
        <f t="shared" si="135"/>
        <v>30342746</v>
      </c>
      <c r="U134" s="1674">
        <f t="shared" si="132"/>
        <v>1925129026</v>
      </c>
      <c r="V134" s="205" t="s">
        <v>35</v>
      </c>
    </row>
    <row r="135" spans="1:22" ht="14.25" customHeight="1">
      <c r="A135" s="206" t="s">
        <v>70</v>
      </c>
      <c r="B135" s="207">
        <f t="shared" ref="B135:O135" si="136">+B34</f>
        <v>0</v>
      </c>
      <c r="C135" s="207">
        <f t="shared" si="136"/>
        <v>0</v>
      </c>
      <c r="D135" s="207">
        <f t="shared" si="136"/>
        <v>0</v>
      </c>
      <c r="E135" s="207">
        <f t="shared" si="136"/>
        <v>0</v>
      </c>
      <c r="F135" s="207">
        <f t="shared" si="136"/>
        <v>453868</v>
      </c>
      <c r="G135" s="207">
        <f t="shared" si="136"/>
        <v>569798</v>
      </c>
      <c r="H135" s="207">
        <f t="shared" si="136"/>
        <v>474487</v>
      </c>
      <c r="I135" s="208">
        <f t="shared" si="136"/>
        <v>126548</v>
      </c>
      <c r="J135" s="208">
        <f t="shared" ref="J135" si="137">+J34</f>
        <v>1639278</v>
      </c>
      <c r="K135" s="1199">
        <f t="shared" si="136"/>
        <v>14577</v>
      </c>
      <c r="L135" s="1219">
        <f t="shared" si="136"/>
        <v>55625</v>
      </c>
      <c r="M135" s="208">
        <f t="shared" si="136"/>
        <v>0</v>
      </c>
      <c r="N135" s="207">
        <f t="shared" si="136"/>
        <v>0</v>
      </c>
      <c r="O135" s="207">
        <f t="shared" si="136"/>
        <v>0</v>
      </c>
      <c r="P135" s="207">
        <f t="shared" ref="P135:Q135" si="138">+P34</f>
        <v>0</v>
      </c>
      <c r="Q135" s="207">
        <f t="shared" si="138"/>
        <v>0</v>
      </c>
      <c r="R135" s="207">
        <f t="shared" ref="R135:T135" si="139">+R34</f>
        <v>0</v>
      </c>
      <c r="S135" s="207">
        <f t="shared" si="139"/>
        <v>0</v>
      </c>
      <c r="T135" s="207">
        <f t="shared" si="139"/>
        <v>0</v>
      </c>
      <c r="U135" s="1261">
        <f>+U34</f>
        <v>1694903</v>
      </c>
      <c r="V135" s="207">
        <f>+V34</f>
        <v>0</v>
      </c>
    </row>
    <row r="136" spans="1:22" ht="14.25" customHeight="1">
      <c r="A136" s="186" t="s">
        <v>25</v>
      </c>
      <c r="B136" s="183">
        <f t="shared" ref="B136:U136" si="140">+B76+B33</f>
        <v>3874</v>
      </c>
      <c r="C136" s="183">
        <f t="shared" si="140"/>
        <v>2052</v>
      </c>
      <c r="D136" s="183">
        <f t="shared" si="140"/>
        <v>116662</v>
      </c>
      <c r="E136" s="183">
        <f t="shared" si="140"/>
        <v>246992</v>
      </c>
      <c r="F136" s="183">
        <f t="shared" si="140"/>
        <v>95664</v>
      </c>
      <c r="G136" s="183">
        <f t="shared" si="140"/>
        <v>8360882</v>
      </c>
      <c r="H136" s="183">
        <f t="shared" si="140"/>
        <v>2337359</v>
      </c>
      <c r="I136" s="184">
        <f t="shared" si="140"/>
        <v>4679427</v>
      </c>
      <c r="J136" s="184">
        <f t="shared" ref="J136" si="141">+J76+J33</f>
        <v>33997132</v>
      </c>
      <c r="K136" s="1200">
        <f t="shared" si="140"/>
        <v>18566348</v>
      </c>
      <c r="L136" s="1215">
        <f t="shared" si="140"/>
        <v>33378483</v>
      </c>
      <c r="M136" s="184">
        <f t="shared" si="140"/>
        <v>9006049</v>
      </c>
      <c r="N136" s="183">
        <f t="shared" si="140"/>
        <v>1856905</v>
      </c>
      <c r="O136" s="209">
        <f t="shared" si="140"/>
        <v>1402509</v>
      </c>
      <c r="P136" s="209">
        <f t="shared" ref="P136:Q136" si="142">+P76+P33</f>
        <v>1134250</v>
      </c>
      <c r="Q136" s="209">
        <f t="shared" si="142"/>
        <v>210000</v>
      </c>
      <c r="R136" s="209">
        <f t="shared" ref="R136:T136" si="143">+R76+R33</f>
        <v>0</v>
      </c>
      <c r="S136" s="209">
        <f t="shared" si="143"/>
        <v>0</v>
      </c>
      <c r="T136" s="209">
        <f t="shared" si="143"/>
        <v>0</v>
      </c>
      <c r="U136" s="1262">
        <f t="shared" si="140"/>
        <v>80985328</v>
      </c>
      <c r="V136" s="209">
        <f>+V76+V33</f>
        <v>0</v>
      </c>
    </row>
    <row r="137" spans="1:22" ht="14.25" customHeight="1">
      <c r="A137" s="186" t="s">
        <v>27</v>
      </c>
      <c r="B137" s="183">
        <f t="shared" ref="B137:U138" si="144">+B36+B77</f>
        <v>279786</v>
      </c>
      <c r="C137" s="183">
        <f t="shared" si="144"/>
        <v>0</v>
      </c>
      <c r="D137" s="183">
        <f t="shared" si="144"/>
        <v>0</v>
      </c>
      <c r="E137" s="183">
        <f t="shared" si="144"/>
        <v>279786</v>
      </c>
      <c r="F137" s="183">
        <f t="shared" si="144"/>
        <v>2494494</v>
      </c>
      <c r="G137" s="183">
        <f t="shared" si="144"/>
        <v>4145000</v>
      </c>
      <c r="H137" s="183">
        <f t="shared" si="144"/>
        <v>6242425</v>
      </c>
      <c r="I137" s="184">
        <f t="shared" si="144"/>
        <v>6272760</v>
      </c>
      <c r="J137" s="184">
        <f t="shared" ref="J137" si="145">+J36+J77</f>
        <v>24930022</v>
      </c>
      <c r="K137" s="1200">
        <f t="shared" si="144"/>
        <v>6065557</v>
      </c>
      <c r="L137" s="1215">
        <f t="shared" si="144"/>
        <v>2081313</v>
      </c>
      <c r="M137" s="184">
        <f t="shared" si="144"/>
        <v>1398414</v>
      </c>
      <c r="N137" s="183">
        <f t="shared" si="144"/>
        <v>0</v>
      </c>
      <c r="O137" s="209">
        <f t="shared" si="144"/>
        <v>0</v>
      </c>
      <c r="P137" s="209">
        <f t="shared" ref="P137:Q137" si="146">+P36+P77</f>
        <v>0</v>
      </c>
      <c r="Q137" s="209">
        <f t="shared" si="146"/>
        <v>0</v>
      </c>
      <c r="R137" s="209">
        <f t="shared" ref="R137:T137" si="147">+R36+R77</f>
        <v>0</v>
      </c>
      <c r="S137" s="209">
        <f t="shared" si="147"/>
        <v>0</v>
      </c>
      <c r="T137" s="209">
        <f t="shared" si="147"/>
        <v>0</v>
      </c>
      <c r="U137" s="1262">
        <f t="shared" si="144"/>
        <v>28409749</v>
      </c>
      <c r="V137" s="209">
        <f>+V36+V77</f>
        <v>0</v>
      </c>
    </row>
    <row r="138" spans="1:22" ht="14.25" customHeight="1">
      <c r="A138" s="186" t="s">
        <v>68</v>
      </c>
      <c r="B138" s="183">
        <f t="shared" si="144"/>
        <v>0</v>
      </c>
      <c r="C138" s="183">
        <f t="shared" si="144"/>
        <v>0</v>
      </c>
      <c r="D138" s="183">
        <f t="shared" si="144"/>
        <v>0</v>
      </c>
      <c r="E138" s="183">
        <f t="shared" si="144"/>
        <v>0</v>
      </c>
      <c r="F138" s="183">
        <f t="shared" si="144"/>
        <v>0</v>
      </c>
      <c r="G138" s="183">
        <f t="shared" si="144"/>
        <v>5665000</v>
      </c>
      <c r="H138" s="183">
        <f t="shared" si="144"/>
        <v>10051777</v>
      </c>
      <c r="I138" s="184">
        <f t="shared" si="144"/>
        <v>9511339</v>
      </c>
      <c r="J138" s="184">
        <f>+J37+J78</f>
        <v>40301652</v>
      </c>
      <c r="K138" s="1200">
        <f t="shared" si="144"/>
        <v>15073536</v>
      </c>
      <c r="L138" s="1215">
        <f t="shared" si="144"/>
        <v>6553250</v>
      </c>
      <c r="M138" s="184">
        <f t="shared" si="144"/>
        <v>13901163</v>
      </c>
      <c r="N138" s="183">
        <f t="shared" si="144"/>
        <v>8419285</v>
      </c>
      <c r="O138" s="209">
        <f t="shared" si="144"/>
        <v>12400585</v>
      </c>
      <c r="P138" s="209">
        <f t="shared" ref="P138:Q138" si="148">+P37+P78</f>
        <v>3328200</v>
      </c>
      <c r="Q138" s="209">
        <f t="shared" si="148"/>
        <v>1394500</v>
      </c>
      <c r="R138" s="209">
        <f t="shared" ref="R138:T138" si="149">+R37+R78</f>
        <v>0</v>
      </c>
      <c r="S138" s="209">
        <f t="shared" si="149"/>
        <v>0</v>
      </c>
      <c r="T138" s="209">
        <f t="shared" si="149"/>
        <v>0</v>
      </c>
      <c r="U138" s="1262">
        <f t="shared" si="144"/>
        <v>86298635</v>
      </c>
      <c r="V138" s="209">
        <f>+V37+V78</f>
        <v>0</v>
      </c>
    </row>
    <row r="139" spans="1:22" ht="14.25" customHeight="1">
      <c r="A139" s="206" t="s">
        <v>24</v>
      </c>
      <c r="B139" s="183">
        <f t="shared" ref="B139:U139" si="150">+B79</f>
        <v>0</v>
      </c>
      <c r="C139" s="183">
        <f t="shared" si="150"/>
        <v>0</v>
      </c>
      <c r="D139" s="183">
        <f t="shared" si="150"/>
        <v>0</v>
      </c>
      <c r="E139" s="183">
        <f t="shared" si="150"/>
        <v>0</v>
      </c>
      <c r="F139" s="183">
        <f t="shared" si="150"/>
        <v>101937</v>
      </c>
      <c r="G139" s="183">
        <f t="shared" si="150"/>
        <v>220330</v>
      </c>
      <c r="H139" s="183">
        <f t="shared" si="150"/>
        <v>1345053</v>
      </c>
      <c r="I139" s="184">
        <f t="shared" si="150"/>
        <v>2037072</v>
      </c>
      <c r="J139" s="184">
        <f t="shared" ref="J139" si="151">+J79</f>
        <v>7082533</v>
      </c>
      <c r="K139" s="1200">
        <f t="shared" si="150"/>
        <v>3378141</v>
      </c>
      <c r="L139" s="1215">
        <f t="shared" si="150"/>
        <v>23248094</v>
      </c>
      <c r="M139" s="184">
        <f t="shared" si="150"/>
        <v>16020420</v>
      </c>
      <c r="N139" s="183">
        <f t="shared" si="150"/>
        <v>10500000</v>
      </c>
      <c r="O139" s="209">
        <f t="shared" si="150"/>
        <v>10500000</v>
      </c>
      <c r="P139" s="209">
        <f t="shared" ref="P139:Q139" si="152">+P79</f>
        <v>0</v>
      </c>
      <c r="Q139" s="209">
        <f t="shared" si="152"/>
        <v>0</v>
      </c>
      <c r="R139" s="209">
        <f t="shared" ref="R139:T139" si="153">+R79</f>
        <v>0</v>
      </c>
      <c r="S139" s="209">
        <f t="shared" si="153"/>
        <v>0</v>
      </c>
      <c r="T139" s="209">
        <f t="shared" si="153"/>
        <v>0</v>
      </c>
      <c r="U139" s="1262">
        <f t="shared" si="150"/>
        <v>67351047</v>
      </c>
      <c r="V139" s="209">
        <f>+V79</f>
        <v>0</v>
      </c>
    </row>
    <row r="140" spans="1:22" ht="13.5" customHeight="1">
      <c r="A140" s="186" t="s">
        <v>71</v>
      </c>
      <c r="B140" s="183">
        <f t="shared" ref="B140:U140" si="154">+B80+B35</f>
        <v>5935894</v>
      </c>
      <c r="C140" s="183">
        <f t="shared" si="154"/>
        <v>0</v>
      </c>
      <c r="D140" s="183">
        <f t="shared" si="154"/>
        <v>0</v>
      </c>
      <c r="E140" s="183">
        <f t="shared" si="154"/>
        <v>6647405</v>
      </c>
      <c r="F140" s="183">
        <f t="shared" si="154"/>
        <v>10285500</v>
      </c>
      <c r="G140" s="183">
        <f t="shared" si="154"/>
        <v>12796084</v>
      </c>
      <c r="H140" s="183">
        <f t="shared" si="154"/>
        <v>12744811</v>
      </c>
      <c r="I140" s="184">
        <f t="shared" si="154"/>
        <v>9659941</v>
      </c>
      <c r="J140" s="184">
        <f t="shared" ref="J140" si="155">+J80+J35</f>
        <v>61303761</v>
      </c>
      <c r="K140" s="1200">
        <f t="shared" si="154"/>
        <v>9881531</v>
      </c>
      <c r="L140" s="1215">
        <f t="shared" si="154"/>
        <v>4275235</v>
      </c>
      <c r="M140" s="184">
        <f t="shared" si="154"/>
        <v>0</v>
      </c>
      <c r="N140" s="183">
        <f t="shared" si="154"/>
        <v>0</v>
      </c>
      <c r="O140" s="209">
        <f t="shared" si="154"/>
        <v>0</v>
      </c>
      <c r="P140" s="209">
        <f t="shared" ref="P140:Q140" si="156">+P80+P35</f>
        <v>0</v>
      </c>
      <c r="Q140" s="209">
        <f t="shared" si="156"/>
        <v>0</v>
      </c>
      <c r="R140" s="209">
        <f t="shared" ref="R140:T140" si="157">+R80+R35</f>
        <v>0</v>
      </c>
      <c r="S140" s="209">
        <f t="shared" si="157"/>
        <v>0</v>
      </c>
      <c r="T140" s="209">
        <f t="shared" si="157"/>
        <v>0</v>
      </c>
      <c r="U140" s="1262">
        <f t="shared" si="154"/>
        <v>65578996</v>
      </c>
      <c r="V140" s="209">
        <f>+V80+V35</f>
        <v>0</v>
      </c>
    </row>
    <row r="141" spans="1:22" ht="12.75" customHeight="1">
      <c r="A141" s="186" t="s">
        <v>72</v>
      </c>
      <c r="B141" s="183">
        <f t="shared" ref="B141:U141" si="158">+B43</f>
        <v>10594223</v>
      </c>
      <c r="C141" s="183">
        <f t="shared" si="158"/>
        <v>0</v>
      </c>
      <c r="D141" s="183">
        <f t="shared" si="158"/>
        <v>0</v>
      </c>
      <c r="E141" s="183">
        <f t="shared" si="158"/>
        <v>3058368</v>
      </c>
      <c r="F141" s="183">
        <f t="shared" si="158"/>
        <v>17692550</v>
      </c>
      <c r="G141" s="183">
        <f t="shared" si="158"/>
        <v>2998223</v>
      </c>
      <c r="H141" s="183">
        <f t="shared" si="158"/>
        <v>3753212</v>
      </c>
      <c r="I141" s="184">
        <f t="shared" si="158"/>
        <v>4711864</v>
      </c>
      <c r="J141" s="184">
        <f t="shared" ref="J141" si="159">+J43</f>
        <v>44183146</v>
      </c>
      <c r="K141" s="1200">
        <f t="shared" si="158"/>
        <v>4433074</v>
      </c>
      <c r="L141" s="1215">
        <f t="shared" si="158"/>
        <v>1613741</v>
      </c>
      <c r="M141" s="184">
        <f t="shared" si="158"/>
        <v>0</v>
      </c>
      <c r="N141" s="183">
        <f t="shared" si="158"/>
        <v>0</v>
      </c>
      <c r="O141" s="209">
        <f t="shared" si="158"/>
        <v>0</v>
      </c>
      <c r="P141" s="209">
        <f t="shared" ref="P141:Q141" si="160">+P43</f>
        <v>0</v>
      </c>
      <c r="Q141" s="209">
        <f t="shared" si="160"/>
        <v>0</v>
      </c>
      <c r="R141" s="209">
        <f t="shared" ref="R141:T141" si="161">+R43</f>
        <v>0</v>
      </c>
      <c r="S141" s="209">
        <f t="shared" si="161"/>
        <v>0</v>
      </c>
      <c r="T141" s="209">
        <f t="shared" si="161"/>
        <v>0</v>
      </c>
      <c r="U141" s="1262">
        <f t="shared" si="158"/>
        <v>45796887</v>
      </c>
      <c r="V141" s="209">
        <f>+V43</f>
        <v>0</v>
      </c>
    </row>
    <row r="142" spans="1:22" ht="14.25" customHeight="1">
      <c r="A142" s="186" t="s">
        <v>29</v>
      </c>
      <c r="B142" s="183">
        <f t="shared" ref="B142:U142" si="162">+B41+B38</f>
        <v>0</v>
      </c>
      <c r="C142" s="183">
        <f t="shared" si="162"/>
        <v>0</v>
      </c>
      <c r="D142" s="183">
        <f t="shared" si="162"/>
        <v>0</v>
      </c>
      <c r="E142" s="183">
        <f t="shared" si="162"/>
        <v>0</v>
      </c>
      <c r="F142" s="183">
        <f t="shared" si="162"/>
        <v>0</v>
      </c>
      <c r="G142" s="183">
        <f t="shared" si="162"/>
        <v>14008762</v>
      </c>
      <c r="H142" s="183">
        <f t="shared" si="162"/>
        <v>9006468</v>
      </c>
      <c r="I142" s="184">
        <f t="shared" si="162"/>
        <v>3091421</v>
      </c>
      <c r="J142" s="184">
        <f t="shared" ref="J142" si="163">+J41+J38</f>
        <v>28981695</v>
      </c>
      <c r="K142" s="1200">
        <f t="shared" si="162"/>
        <v>2875044</v>
      </c>
      <c r="L142" s="1215">
        <f t="shared" si="162"/>
        <v>703083</v>
      </c>
      <c r="M142" s="184">
        <f t="shared" si="162"/>
        <v>911</v>
      </c>
      <c r="N142" s="183">
        <f t="shared" si="162"/>
        <v>0</v>
      </c>
      <c r="O142" s="209">
        <f t="shared" si="162"/>
        <v>0</v>
      </c>
      <c r="P142" s="209">
        <f t="shared" ref="P142:Q142" si="164">+P41+P38</f>
        <v>0</v>
      </c>
      <c r="Q142" s="209">
        <f t="shared" si="164"/>
        <v>0</v>
      </c>
      <c r="R142" s="209">
        <f t="shared" ref="R142:T142" si="165">+R41+R38</f>
        <v>0</v>
      </c>
      <c r="S142" s="209">
        <f t="shared" si="165"/>
        <v>0</v>
      </c>
      <c r="T142" s="209">
        <f t="shared" si="165"/>
        <v>0</v>
      </c>
      <c r="U142" s="1262">
        <f t="shared" si="162"/>
        <v>29685689</v>
      </c>
      <c r="V142" s="209">
        <f>+V41+V38</f>
        <v>0</v>
      </c>
    </row>
    <row r="143" spans="1:22" ht="21.75" customHeight="1">
      <c r="A143" s="186" t="s">
        <v>38</v>
      </c>
      <c r="B143" s="209">
        <f t="shared" ref="B143:U143" si="166">+B39</f>
        <v>0</v>
      </c>
      <c r="C143" s="209">
        <f t="shared" si="166"/>
        <v>0</v>
      </c>
      <c r="D143" s="209">
        <f t="shared" si="166"/>
        <v>0</v>
      </c>
      <c r="E143" s="209">
        <f t="shared" si="166"/>
        <v>0</v>
      </c>
      <c r="F143" s="209">
        <f t="shared" si="166"/>
        <v>0</v>
      </c>
      <c r="G143" s="209">
        <f t="shared" si="166"/>
        <v>0</v>
      </c>
      <c r="H143" s="209">
        <f t="shared" si="166"/>
        <v>0</v>
      </c>
      <c r="I143" s="209">
        <f t="shared" si="166"/>
        <v>841481</v>
      </c>
      <c r="J143" s="183">
        <f t="shared" ref="J143" si="167">+J39</f>
        <v>841481</v>
      </c>
      <c r="K143" s="1200">
        <f t="shared" si="166"/>
        <v>0</v>
      </c>
      <c r="L143" s="1215">
        <f t="shared" si="166"/>
        <v>0</v>
      </c>
      <c r="M143" s="184">
        <f t="shared" si="166"/>
        <v>0</v>
      </c>
      <c r="N143" s="183">
        <f t="shared" si="166"/>
        <v>0</v>
      </c>
      <c r="O143" s="209">
        <f t="shared" si="166"/>
        <v>0</v>
      </c>
      <c r="P143" s="209">
        <f t="shared" ref="P143:Q143" si="168">+P39</f>
        <v>0</v>
      </c>
      <c r="Q143" s="209">
        <f t="shared" si="168"/>
        <v>0</v>
      </c>
      <c r="R143" s="209">
        <f t="shared" ref="R143:T143" si="169">+R39</f>
        <v>0</v>
      </c>
      <c r="S143" s="209">
        <f t="shared" si="169"/>
        <v>0</v>
      </c>
      <c r="T143" s="209">
        <f t="shared" si="169"/>
        <v>0</v>
      </c>
      <c r="U143" s="1262">
        <f t="shared" si="166"/>
        <v>841481</v>
      </c>
      <c r="V143" s="209">
        <f>+V39</f>
        <v>0</v>
      </c>
    </row>
    <row r="144" spans="1:22" ht="14.25" customHeight="1">
      <c r="A144" s="186" t="s">
        <v>32</v>
      </c>
      <c r="B144" s="209">
        <f t="shared" ref="B144:U144" si="170">+B44</f>
        <v>0</v>
      </c>
      <c r="C144" s="209">
        <f t="shared" si="170"/>
        <v>0</v>
      </c>
      <c r="D144" s="209">
        <f t="shared" si="170"/>
        <v>0</v>
      </c>
      <c r="E144" s="209">
        <f t="shared" si="170"/>
        <v>0</v>
      </c>
      <c r="F144" s="209">
        <f t="shared" si="170"/>
        <v>1361604</v>
      </c>
      <c r="G144" s="209">
        <f t="shared" si="170"/>
        <v>5499223</v>
      </c>
      <c r="H144" s="209">
        <f t="shared" si="170"/>
        <v>5828817</v>
      </c>
      <c r="I144" s="210">
        <f t="shared" si="170"/>
        <v>3895587</v>
      </c>
      <c r="J144" s="184">
        <f t="shared" ref="J144" si="171">+J44</f>
        <v>16936636</v>
      </c>
      <c r="K144" s="1200">
        <f t="shared" si="170"/>
        <v>351405</v>
      </c>
      <c r="L144" s="1215">
        <f t="shared" si="170"/>
        <v>317927</v>
      </c>
      <c r="M144" s="184">
        <f t="shared" si="170"/>
        <v>7105906</v>
      </c>
      <c r="N144" s="183">
        <f t="shared" si="170"/>
        <v>6258282</v>
      </c>
      <c r="O144" s="209">
        <f t="shared" si="170"/>
        <v>1727118</v>
      </c>
      <c r="P144" s="209">
        <f t="shared" ref="P144:Q144" si="172">+P44</f>
        <v>229775</v>
      </c>
      <c r="Q144" s="209">
        <f t="shared" si="172"/>
        <v>0</v>
      </c>
      <c r="R144" s="209">
        <f t="shared" ref="R144:T144" si="173">+R44</f>
        <v>0</v>
      </c>
      <c r="S144" s="209">
        <f t="shared" si="173"/>
        <v>0</v>
      </c>
      <c r="T144" s="209">
        <f t="shared" si="173"/>
        <v>0</v>
      </c>
      <c r="U144" s="1262">
        <f t="shared" si="170"/>
        <v>32575644</v>
      </c>
      <c r="V144" s="209">
        <f>+V44</f>
        <v>0</v>
      </c>
    </row>
    <row r="145" spans="1:25" ht="14.25" customHeight="1">
      <c r="A145" s="211" t="s">
        <v>31</v>
      </c>
      <c r="B145" s="212">
        <f t="shared" ref="B145:U145" si="174">+B42</f>
        <v>0</v>
      </c>
      <c r="C145" s="212">
        <f t="shared" si="174"/>
        <v>0</v>
      </c>
      <c r="D145" s="212">
        <f t="shared" si="174"/>
        <v>0</v>
      </c>
      <c r="E145" s="212">
        <f t="shared" si="174"/>
        <v>0</v>
      </c>
      <c r="F145" s="212">
        <f t="shared" si="174"/>
        <v>0</v>
      </c>
      <c r="G145" s="212">
        <f t="shared" si="174"/>
        <v>0</v>
      </c>
      <c r="H145" s="212">
        <f t="shared" si="174"/>
        <v>0</v>
      </c>
      <c r="I145" s="212">
        <f t="shared" si="174"/>
        <v>0</v>
      </c>
      <c r="J145" s="1275">
        <f t="shared" ref="J145" si="175">+J42</f>
        <v>0</v>
      </c>
      <c r="K145" s="1276">
        <f t="shared" si="174"/>
        <v>0</v>
      </c>
      <c r="L145" s="1277">
        <f t="shared" si="174"/>
        <v>0</v>
      </c>
      <c r="M145" s="1278">
        <f t="shared" si="174"/>
        <v>0</v>
      </c>
      <c r="N145" s="1275">
        <f t="shared" si="174"/>
        <v>0</v>
      </c>
      <c r="O145" s="212">
        <f t="shared" si="174"/>
        <v>0</v>
      </c>
      <c r="P145" s="212">
        <f t="shared" ref="P145:Q145" si="176">+P42</f>
        <v>0</v>
      </c>
      <c r="Q145" s="212">
        <f t="shared" si="176"/>
        <v>0</v>
      </c>
      <c r="R145" s="212">
        <f t="shared" ref="R145:T145" si="177">+R42</f>
        <v>0</v>
      </c>
      <c r="S145" s="212">
        <f t="shared" si="177"/>
        <v>0</v>
      </c>
      <c r="T145" s="212">
        <f t="shared" si="177"/>
        <v>0</v>
      </c>
      <c r="U145" s="1262">
        <f t="shared" si="174"/>
        <v>0</v>
      </c>
      <c r="V145" s="212">
        <f>+V42</f>
        <v>0</v>
      </c>
    </row>
    <row r="146" spans="1:25" ht="14.25" customHeight="1" thickBot="1">
      <c r="A146" s="191" t="s">
        <v>33</v>
      </c>
      <c r="B146" s="213" t="e">
        <f t="shared" ref="B146:U146" si="178">+B45</f>
        <v>#REF!</v>
      </c>
      <c r="C146" s="213" t="e">
        <f t="shared" si="178"/>
        <v>#REF!</v>
      </c>
      <c r="D146" s="213" t="e">
        <f t="shared" si="178"/>
        <v>#REF!</v>
      </c>
      <c r="E146" s="213" t="e">
        <f t="shared" si="178"/>
        <v>#REF!</v>
      </c>
      <c r="F146" s="213" t="e">
        <f t="shared" si="178"/>
        <v>#REF!</v>
      </c>
      <c r="G146" s="213" t="e">
        <f t="shared" si="178"/>
        <v>#REF!</v>
      </c>
      <c r="H146" s="213" t="e">
        <f t="shared" si="178"/>
        <v>#REF!</v>
      </c>
      <c r="I146" s="214" t="e">
        <f t="shared" si="178"/>
        <v>#REF!</v>
      </c>
      <c r="J146" s="214">
        <f t="shared" ref="J146" si="179">+J45</f>
        <v>570069727</v>
      </c>
      <c r="K146" s="1201">
        <f t="shared" si="178"/>
        <v>227755348</v>
      </c>
      <c r="L146" s="1220">
        <f t="shared" si="178"/>
        <v>201021140</v>
      </c>
      <c r="M146" s="214">
        <f t="shared" si="178"/>
        <v>152020236</v>
      </c>
      <c r="N146" s="213">
        <f t="shared" si="178"/>
        <v>212121006</v>
      </c>
      <c r="O146" s="213">
        <f t="shared" si="178"/>
        <v>152788746</v>
      </c>
      <c r="P146" s="213">
        <f t="shared" ref="P146:Q146" si="180">+P45</f>
        <v>62801750</v>
      </c>
      <c r="Q146" s="213">
        <f t="shared" si="180"/>
        <v>43930248</v>
      </c>
      <c r="R146" s="213">
        <f t="shared" ref="R146:T146" si="181">+R45</f>
        <v>30574519</v>
      </c>
      <c r="S146" s="213">
        <f t="shared" si="181"/>
        <v>30240549</v>
      </c>
      <c r="T146" s="213">
        <f t="shared" si="181"/>
        <v>30342746</v>
      </c>
      <c r="U146" s="1263">
        <f t="shared" si="178"/>
        <v>1485910667</v>
      </c>
      <c r="V146" s="213">
        <f>+V45</f>
        <v>0</v>
      </c>
    </row>
    <row r="147" spans="1:25" ht="14.25" customHeight="1" thickBot="1">
      <c r="A147" s="215">
        <f>+L136+L142</f>
        <v>34081566</v>
      </c>
      <c r="B147" s="196" t="e">
        <f t="shared" ref="B147:U147" si="182">SUM(B135:B146)</f>
        <v>#REF!</v>
      </c>
      <c r="C147" s="197" t="e">
        <f t="shared" si="182"/>
        <v>#REF!</v>
      </c>
      <c r="D147" s="197" t="e">
        <f t="shared" si="182"/>
        <v>#REF!</v>
      </c>
      <c r="E147" s="197" t="e">
        <f t="shared" si="182"/>
        <v>#REF!</v>
      </c>
      <c r="F147" s="196" t="e">
        <f t="shared" si="182"/>
        <v>#REF!</v>
      </c>
      <c r="G147" s="198" t="e">
        <f t="shared" si="182"/>
        <v>#REF!</v>
      </c>
      <c r="H147" s="199" t="e">
        <f t="shared" si="182"/>
        <v>#REF!</v>
      </c>
      <c r="I147" s="196" t="e">
        <f t="shared" si="182"/>
        <v>#REF!</v>
      </c>
      <c r="J147" s="196">
        <f t="shared" ref="J147" si="183">SUM(J135:J146)</f>
        <v>830267063</v>
      </c>
      <c r="K147" s="196">
        <f t="shared" si="182"/>
        <v>288394561</v>
      </c>
      <c r="L147" s="1221">
        <f t="shared" si="182"/>
        <v>273247891</v>
      </c>
      <c r="M147" s="196">
        <f t="shared" si="182"/>
        <v>199453099</v>
      </c>
      <c r="N147" s="196">
        <f t="shared" si="182"/>
        <v>239155478</v>
      </c>
      <c r="O147" s="196">
        <f t="shared" si="182"/>
        <v>178818958</v>
      </c>
      <c r="P147" s="196">
        <f t="shared" ref="P147:Q147" si="184">SUM(P135:P146)</f>
        <v>67493975</v>
      </c>
      <c r="Q147" s="196">
        <f t="shared" si="184"/>
        <v>45534748</v>
      </c>
      <c r="R147" s="196"/>
      <c r="S147" s="196"/>
      <c r="T147" s="196"/>
      <c r="U147" s="196">
        <f t="shared" si="182"/>
        <v>1925129026</v>
      </c>
      <c r="V147" s="196">
        <f>SUM(V135:V146)</f>
        <v>0</v>
      </c>
    </row>
    <row r="148" spans="1:25" ht="14.25" customHeight="1" thickBot="1">
      <c r="A148" s="216"/>
      <c r="B148" s="217" t="e">
        <f t="shared" ref="B148:U148" si="185">+B147-B90</f>
        <v>#REF!</v>
      </c>
      <c r="C148" s="217" t="e">
        <f t="shared" si="185"/>
        <v>#REF!</v>
      </c>
      <c r="D148" s="217" t="e">
        <f t="shared" si="185"/>
        <v>#REF!</v>
      </c>
      <c r="E148" s="217" t="e">
        <f t="shared" si="185"/>
        <v>#REF!</v>
      </c>
      <c r="F148" s="217" t="e">
        <f t="shared" si="185"/>
        <v>#REF!</v>
      </c>
      <c r="G148" s="217" t="e">
        <f t="shared" si="185"/>
        <v>#REF!</v>
      </c>
      <c r="H148" s="217" t="e">
        <f t="shared" si="185"/>
        <v>#REF!</v>
      </c>
      <c r="I148" s="217" t="e">
        <f t="shared" si="185"/>
        <v>#REF!</v>
      </c>
      <c r="J148" s="217">
        <f t="shared" ref="J148" si="186">+J147-J90</f>
        <v>0</v>
      </c>
      <c r="K148" s="196">
        <f t="shared" si="185"/>
        <v>0</v>
      </c>
      <c r="L148" s="196">
        <f t="shared" si="185"/>
        <v>0</v>
      </c>
      <c r="M148" s="217">
        <f t="shared" si="185"/>
        <v>0</v>
      </c>
      <c r="N148" s="217">
        <f t="shared" si="185"/>
        <v>0</v>
      </c>
      <c r="O148" s="217">
        <f t="shared" si="185"/>
        <v>0</v>
      </c>
      <c r="P148" s="217">
        <f t="shared" si="185"/>
        <v>0</v>
      </c>
      <c r="Q148" s="217">
        <f t="shared" si="185"/>
        <v>0</v>
      </c>
      <c r="R148" s="217"/>
      <c r="S148" s="217"/>
      <c r="T148" s="217"/>
      <c r="U148" s="217">
        <f t="shared" si="185"/>
        <v>0</v>
      </c>
      <c r="V148" s="196"/>
    </row>
    <row r="149" spans="1:25" ht="13.5" thickBot="1">
      <c r="A149" s="2"/>
      <c r="B149" s="152" t="s">
        <v>6</v>
      </c>
      <c r="C149" s="153" t="s">
        <v>7</v>
      </c>
      <c r="D149" s="153" t="s">
        <v>8</v>
      </c>
      <c r="E149" s="153" t="s">
        <v>9</v>
      </c>
      <c r="F149" s="152" t="s">
        <v>10</v>
      </c>
      <c r="G149" s="154" t="s">
        <v>11</v>
      </c>
      <c r="H149" s="155" t="s">
        <v>12</v>
      </c>
      <c r="I149" s="1187" t="s">
        <v>13</v>
      </c>
      <c r="J149" s="1137" t="s">
        <v>489</v>
      </c>
      <c r="K149" s="1265" t="s">
        <v>14</v>
      </c>
      <c r="L149" s="156" t="s">
        <v>15</v>
      </c>
      <c r="M149" s="157" t="s">
        <v>16</v>
      </c>
      <c r="N149" s="155" t="s">
        <v>17</v>
      </c>
      <c r="O149" s="155" t="s">
        <v>18</v>
      </c>
      <c r="P149" s="155" t="s">
        <v>376</v>
      </c>
      <c r="Q149" s="155" t="s">
        <v>381</v>
      </c>
      <c r="R149" s="155" t="s">
        <v>491</v>
      </c>
      <c r="S149" s="155" t="s">
        <v>492</v>
      </c>
      <c r="T149" s="155" t="s">
        <v>490</v>
      </c>
      <c r="U149" s="158" t="s">
        <v>61</v>
      </c>
      <c r="V149" s="158" t="s">
        <v>469</v>
      </c>
    </row>
    <row r="150" spans="1:25" ht="3" customHeight="1">
      <c r="A150" s="3972" t="s">
        <v>541</v>
      </c>
      <c r="B150" s="218"/>
      <c r="C150" s="218"/>
      <c r="D150" s="218"/>
      <c r="E150" s="218"/>
      <c r="F150" s="218"/>
      <c r="G150" s="219"/>
      <c r="H150" s="218"/>
      <c r="I150" s="220"/>
      <c r="J150" s="220"/>
      <c r="K150" s="1034"/>
      <c r="L150" s="221"/>
      <c r="M150" s="222"/>
      <c r="N150" s="218"/>
      <c r="O150" s="218"/>
      <c r="P150" s="218"/>
      <c r="Q150" s="218"/>
      <c r="R150" s="218"/>
      <c r="S150" s="218"/>
      <c r="T150" s="218"/>
      <c r="U150" s="218"/>
      <c r="V150" s="1502"/>
    </row>
    <row r="151" spans="1:25" ht="26.25" customHeight="1" thickBot="1">
      <c r="A151" s="3973"/>
      <c r="B151" s="223">
        <f>SUM(B152:B162)</f>
        <v>64233113</v>
      </c>
      <c r="C151" s="224" t="e">
        <f t="shared" ref="C151:O151" si="187">SUM(C152:C162)</f>
        <v>#REF!</v>
      </c>
      <c r="D151" s="224" t="e">
        <f t="shared" si="187"/>
        <v>#REF!</v>
      </c>
      <c r="E151" s="224" t="e">
        <f t="shared" si="187"/>
        <v>#REF!</v>
      </c>
      <c r="F151" s="223">
        <f t="shared" si="187"/>
        <v>106866512</v>
      </c>
      <c r="G151" s="225">
        <f t="shared" si="187"/>
        <v>210123298</v>
      </c>
      <c r="H151" s="223">
        <f t="shared" si="187"/>
        <v>232143167.30000001</v>
      </c>
      <c r="I151" s="223">
        <f t="shared" si="187"/>
        <v>373564523.30000001</v>
      </c>
      <c r="J151" s="1678">
        <f t="shared" si="187"/>
        <v>1325402024.3</v>
      </c>
      <c r="K151" s="1679">
        <f t="shared" si="187"/>
        <v>459906645</v>
      </c>
      <c r="L151" s="1680">
        <f t="shared" si="187"/>
        <v>413979088</v>
      </c>
      <c r="M151" s="1681">
        <f t="shared" si="187"/>
        <v>328679823.63999999</v>
      </c>
      <c r="N151" s="1678">
        <f t="shared" si="187"/>
        <v>212641598</v>
      </c>
      <c r="O151" s="1678">
        <f t="shared" si="187"/>
        <v>173734810</v>
      </c>
      <c r="P151" s="1678">
        <f t="shared" ref="P151:T151" si="188">SUM(P152:P162)</f>
        <v>129145592</v>
      </c>
      <c r="Q151" s="1678">
        <f t="shared" si="188"/>
        <v>120430578</v>
      </c>
      <c r="R151" s="1678">
        <f t="shared" si="188"/>
        <v>38655180</v>
      </c>
      <c r="S151" s="1678">
        <f t="shared" si="188"/>
        <v>35982384</v>
      </c>
      <c r="T151" s="1678">
        <f t="shared" si="188"/>
        <v>35207269</v>
      </c>
      <c r="U151" s="1678">
        <f>SUM(U152:U162)</f>
        <v>2817422636.9400001</v>
      </c>
      <c r="V151" s="1682">
        <f>SUM(V152:V162)</f>
        <v>1081068664.6399999</v>
      </c>
    </row>
    <row r="152" spans="1:25">
      <c r="A152" s="226" t="s">
        <v>65</v>
      </c>
      <c r="B152" s="227">
        <v>14165198</v>
      </c>
      <c r="C152" s="227" t="e">
        <v>#REF!</v>
      </c>
      <c r="D152" s="227" t="e">
        <v>#REF!</v>
      </c>
      <c r="E152" s="227" t="e">
        <v>#REF!</v>
      </c>
      <c r="F152" s="227">
        <v>14686560</v>
      </c>
      <c r="G152" s="228">
        <v>58576756</v>
      </c>
      <c r="H152" s="227">
        <v>56208229.299999997</v>
      </c>
      <c r="I152" s="227">
        <v>139739807.30000001</v>
      </c>
      <c r="J152" s="229">
        <v>395562360.30000001</v>
      </c>
      <c r="K152" s="1035">
        <v>139067145</v>
      </c>
      <c r="L152" s="230">
        <v>124157020</v>
      </c>
      <c r="M152" s="231">
        <v>165661977.63999999</v>
      </c>
      <c r="N152" s="227">
        <v>147747406</v>
      </c>
      <c r="O152" s="227">
        <v>136154935</v>
      </c>
      <c r="P152" s="227">
        <v>95039489</v>
      </c>
      <c r="Q152" s="227">
        <v>88640241</v>
      </c>
      <c r="R152" s="227">
        <v>8080661</v>
      </c>
      <c r="S152" s="227">
        <v>5741835</v>
      </c>
      <c r="T152" s="227">
        <v>4864523</v>
      </c>
      <c r="U152" s="227">
        <f>J152+L152+M152+N152+O152+P152+Q152+R152+S152+T152+2514288+1050002</f>
        <v>1175214737.9400001</v>
      </c>
      <c r="V152" s="228">
        <f>SUM(M152:T152)+6591430</f>
        <v>658522497.63999999</v>
      </c>
      <c r="X152" s="14"/>
      <c r="Y152" s="14"/>
    </row>
    <row r="153" spans="1:25">
      <c r="A153" s="226" t="s">
        <v>66</v>
      </c>
      <c r="B153" s="227">
        <v>3621827</v>
      </c>
      <c r="C153" s="227" t="e">
        <v>#REF!</v>
      </c>
      <c r="D153" s="227" t="e">
        <v>#REF!</v>
      </c>
      <c r="E153" s="227" t="e">
        <v>#REF!</v>
      </c>
      <c r="F153" s="227">
        <v>6819986</v>
      </c>
      <c r="G153" s="228">
        <v>10846424</v>
      </c>
      <c r="H153" s="227">
        <v>13251483</v>
      </c>
      <c r="I153" s="227">
        <v>6472922</v>
      </c>
      <c r="J153" s="229">
        <v>67019692</v>
      </c>
      <c r="K153" s="1035">
        <v>27778285</v>
      </c>
      <c r="L153" s="230">
        <v>43318271</v>
      </c>
      <c r="M153" s="231">
        <v>5039601</v>
      </c>
      <c r="N153" s="227">
        <v>0</v>
      </c>
      <c r="O153" s="227">
        <v>0</v>
      </c>
      <c r="P153" s="227">
        <v>0</v>
      </c>
      <c r="Q153" s="227">
        <v>0</v>
      </c>
      <c r="R153" s="227">
        <v>0</v>
      </c>
      <c r="S153" s="227">
        <v>0</v>
      </c>
      <c r="T153" s="227">
        <v>0</v>
      </c>
      <c r="U153" s="227">
        <f t="shared" ref="U153:U162" si="189">J153+L153+M153+N153+O153+P153+Q153+R153+S153+T153</f>
        <v>115377564</v>
      </c>
      <c r="V153" s="228">
        <f t="shared" ref="V153:V162" si="190">SUM(M153:T153)</f>
        <v>5039601</v>
      </c>
      <c r="X153" s="14"/>
      <c r="Y153" s="14"/>
    </row>
    <row r="154" spans="1:25">
      <c r="A154" s="232" t="s">
        <v>25</v>
      </c>
      <c r="B154" s="227">
        <v>535781</v>
      </c>
      <c r="C154" s="227" t="e">
        <v>#REF!</v>
      </c>
      <c r="D154" s="227" t="e">
        <v>#REF!</v>
      </c>
      <c r="E154" s="227" t="e">
        <v>#REF!</v>
      </c>
      <c r="F154" s="227">
        <v>624623</v>
      </c>
      <c r="G154" s="228">
        <v>8734797</v>
      </c>
      <c r="H154" s="227">
        <v>2799809</v>
      </c>
      <c r="I154" s="227">
        <v>5170948</v>
      </c>
      <c r="J154" s="229">
        <v>34588610</v>
      </c>
      <c r="K154" s="1035">
        <v>18542654</v>
      </c>
      <c r="L154" s="230">
        <v>33633138</v>
      </c>
      <c r="M154" s="231">
        <v>8825895</v>
      </c>
      <c r="N154" s="227">
        <v>1239250</v>
      </c>
      <c r="O154" s="227">
        <v>1239250</v>
      </c>
      <c r="P154" s="227">
        <v>1134250</v>
      </c>
      <c r="Q154" s="227">
        <v>210000</v>
      </c>
      <c r="R154" s="227">
        <v>0</v>
      </c>
      <c r="S154" s="227">
        <v>0</v>
      </c>
      <c r="T154" s="227">
        <v>0</v>
      </c>
      <c r="U154" s="227">
        <f t="shared" si="189"/>
        <v>80870393</v>
      </c>
      <c r="V154" s="228">
        <f t="shared" si="190"/>
        <v>12648645</v>
      </c>
      <c r="X154" s="14"/>
      <c r="Y154" s="14"/>
    </row>
    <row r="155" spans="1:25" ht="24">
      <c r="A155" s="232" t="s">
        <v>67</v>
      </c>
      <c r="B155" s="227">
        <v>5935894</v>
      </c>
      <c r="C155" s="227">
        <v>0</v>
      </c>
      <c r="D155" s="227">
        <v>0</v>
      </c>
      <c r="E155" s="227">
        <v>6647405</v>
      </c>
      <c r="F155" s="227">
        <v>10285500</v>
      </c>
      <c r="G155" s="228">
        <v>12796084</v>
      </c>
      <c r="H155" s="227">
        <v>12792166</v>
      </c>
      <c r="I155" s="227">
        <v>9659941</v>
      </c>
      <c r="J155" s="229">
        <v>61351116</v>
      </c>
      <c r="K155" s="1035">
        <v>9881531</v>
      </c>
      <c r="L155" s="230">
        <v>4275236</v>
      </c>
      <c r="M155" s="231">
        <v>0</v>
      </c>
      <c r="N155" s="227">
        <v>0</v>
      </c>
      <c r="O155" s="227">
        <v>0</v>
      </c>
      <c r="P155" s="227">
        <v>0</v>
      </c>
      <c r="Q155" s="227">
        <v>0</v>
      </c>
      <c r="R155" s="227">
        <v>0</v>
      </c>
      <c r="S155" s="227">
        <v>0</v>
      </c>
      <c r="T155" s="227">
        <v>0</v>
      </c>
      <c r="U155" s="227">
        <f t="shared" si="189"/>
        <v>65626352</v>
      </c>
      <c r="V155" s="228">
        <f t="shared" si="190"/>
        <v>0</v>
      </c>
      <c r="X155" s="14"/>
      <c r="Y155" s="14"/>
    </row>
    <row r="156" spans="1:25">
      <c r="A156" s="232" t="s">
        <v>27</v>
      </c>
      <c r="B156" s="227">
        <v>3923747</v>
      </c>
      <c r="C156" s="227">
        <v>0</v>
      </c>
      <c r="D156" s="227">
        <v>0</v>
      </c>
      <c r="E156" s="227">
        <v>3923747</v>
      </c>
      <c r="F156" s="227">
        <v>3817914</v>
      </c>
      <c r="G156" s="228">
        <v>4145000</v>
      </c>
      <c r="H156" s="227">
        <v>8232289</v>
      </c>
      <c r="I156" s="227">
        <v>3712896</v>
      </c>
      <c r="J156" s="229">
        <v>24930022</v>
      </c>
      <c r="K156" s="1035">
        <v>6065557</v>
      </c>
      <c r="L156" s="230">
        <v>2107218</v>
      </c>
      <c r="M156" s="231">
        <v>0</v>
      </c>
      <c r="N156" s="227">
        <v>0</v>
      </c>
      <c r="O156" s="227">
        <v>0</v>
      </c>
      <c r="P156" s="227">
        <v>0</v>
      </c>
      <c r="Q156" s="227">
        <v>0</v>
      </c>
      <c r="R156" s="227">
        <v>0</v>
      </c>
      <c r="S156" s="227">
        <v>0</v>
      </c>
      <c r="T156" s="227">
        <v>0</v>
      </c>
      <c r="U156" s="227">
        <f t="shared" si="189"/>
        <v>27037240</v>
      </c>
      <c r="V156" s="228">
        <f t="shared" si="190"/>
        <v>0</v>
      </c>
      <c r="X156" s="14"/>
      <c r="Y156" s="14"/>
    </row>
    <row r="157" spans="1:25">
      <c r="A157" s="232" t="s">
        <v>68</v>
      </c>
      <c r="B157" s="227">
        <v>0</v>
      </c>
      <c r="C157" s="227">
        <v>0</v>
      </c>
      <c r="D157" s="227">
        <v>0</v>
      </c>
      <c r="E157" s="227">
        <v>0</v>
      </c>
      <c r="F157" s="227">
        <v>0</v>
      </c>
      <c r="G157" s="228">
        <v>0</v>
      </c>
      <c r="H157" s="227">
        <v>3849132</v>
      </c>
      <c r="I157" s="227">
        <v>19947789</v>
      </c>
      <c r="J157" s="229">
        <v>32134846</v>
      </c>
      <c r="K157" s="1035">
        <v>14584375</v>
      </c>
      <c r="L157" s="230">
        <v>8112730</v>
      </c>
      <c r="M157" s="231">
        <v>6755549</v>
      </c>
      <c r="N157" s="227">
        <v>1801485</v>
      </c>
      <c r="O157" s="227">
        <v>0</v>
      </c>
      <c r="P157" s="227">
        <v>0</v>
      </c>
      <c r="Q157" s="227">
        <v>0</v>
      </c>
      <c r="R157" s="227">
        <v>0</v>
      </c>
      <c r="S157" s="227">
        <v>0</v>
      </c>
      <c r="T157" s="227">
        <v>0</v>
      </c>
      <c r="U157" s="227">
        <f t="shared" si="189"/>
        <v>48804610</v>
      </c>
      <c r="V157" s="228">
        <f t="shared" si="190"/>
        <v>8557034</v>
      </c>
      <c r="X157" s="14"/>
      <c r="Y157" s="14"/>
    </row>
    <row r="158" spans="1:25">
      <c r="A158" s="232" t="s">
        <v>32</v>
      </c>
      <c r="B158" s="227">
        <v>0</v>
      </c>
      <c r="C158" s="227">
        <v>0</v>
      </c>
      <c r="D158" s="227">
        <v>0</v>
      </c>
      <c r="E158" s="227">
        <v>0</v>
      </c>
      <c r="F158" s="227">
        <v>829536</v>
      </c>
      <c r="G158" s="228">
        <v>4707541</v>
      </c>
      <c r="H158" s="227">
        <v>2188317</v>
      </c>
      <c r="I158" s="227">
        <v>1176214</v>
      </c>
      <c r="J158" s="229">
        <v>12084103</v>
      </c>
      <c r="K158" s="1035">
        <v>3225472</v>
      </c>
      <c r="L158" s="230">
        <v>5209409</v>
      </c>
      <c r="M158" s="231">
        <v>4374436</v>
      </c>
      <c r="N158" s="227">
        <v>2461218</v>
      </c>
      <c r="O158" s="227">
        <v>0</v>
      </c>
      <c r="P158" s="227">
        <v>0</v>
      </c>
      <c r="Q158" s="227">
        <v>0</v>
      </c>
      <c r="R158" s="227">
        <v>0</v>
      </c>
      <c r="S158" s="227">
        <v>0</v>
      </c>
      <c r="T158" s="227">
        <v>0</v>
      </c>
      <c r="U158" s="227">
        <f t="shared" si="189"/>
        <v>24129166</v>
      </c>
      <c r="V158" s="228">
        <f t="shared" si="190"/>
        <v>6835654</v>
      </c>
      <c r="X158" s="14"/>
      <c r="Y158" s="14"/>
    </row>
    <row r="159" spans="1:25">
      <c r="A159" s="232" t="s">
        <v>29</v>
      </c>
      <c r="B159" s="227">
        <v>289954</v>
      </c>
      <c r="C159" s="227">
        <v>0</v>
      </c>
      <c r="D159" s="227">
        <v>43011</v>
      </c>
      <c r="E159" s="227">
        <v>230832</v>
      </c>
      <c r="F159" s="227">
        <v>787833</v>
      </c>
      <c r="G159" s="228">
        <v>29963574</v>
      </c>
      <c r="H159" s="227">
        <v>7405834</v>
      </c>
      <c r="I159" s="227">
        <v>1961906</v>
      </c>
      <c r="J159" s="229">
        <v>29690656</v>
      </c>
      <c r="K159" s="1035">
        <v>1594169</v>
      </c>
      <c r="L159" s="230">
        <v>3031</v>
      </c>
      <c r="M159" s="231">
        <v>0</v>
      </c>
      <c r="N159" s="227">
        <v>0</v>
      </c>
      <c r="O159" s="227">
        <v>0</v>
      </c>
      <c r="P159" s="227">
        <v>0</v>
      </c>
      <c r="Q159" s="227">
        <v>0</v>
      </c>
      <c r="R159" s="227">
        <v>0</v>
      </c>
      <c r="S159" s="227">
        <v>0</v>
      </c>
      <c r="T159" s="227">
        <v>0</v>
      </c>
      <c r="U159" s="227">
        <f t="shared" si="189"/>
        <v>29693687</v>
      </c>
      <c r="V159" s="228">
        <f t="shared" si="190"/>
        <v>0</v>
      </c>
      <c r="X159" s="14"/>
      <c r="Y159" s="14"/>
    </row>
    <row r="160" spans="1:25">
      <c r="A160" s="233" t="s">
        <v>69</v>
      </c>
      <c r="B160" s="227">
        <v>10594223</v>
      </c>
      <c r="C160" s="227">
        <v>0</v>
      </c>
      <c r="D160" s="227">
        <v>0</v>
      </c>
      <c r="E160" s="227">
        <v>3058368</v>
      </c>
      <c r="F160" s="227">
        <v>17692550</v>
      </c>
      <c r="G160" s="228">
        <v>2998223</v>
      </c>
      <c r="H160" s="227">
        <v>3753212</v>
      </c>
      <c r="I160" s="227">
        <v>4711864</v>
      </c>
      <c r="J160" s="229">
        <v>44183146</v>
      </c>
      <c r="K160" s="1035">
        <v>4433074</v>
      </c>
      <c r="L160" s="230">
        <v>1613743</v>
      </c>
      <c r="M160" s="231">
        <v>0</v>
      </c>
      <c r="N160" s="227">
        <v>0</v>
      </c>
      <c r="O160" s="227">
        <v>0</v>
      </c>
      <c r="P160" s="227">
        <v>0</v>
      </c>
      <c r="Q160" s="227">
        <v>0</v>
      </c>
      <c r="R160" s="227">
        <v>0</v>
      </c>
      <c r="S160" s="227">
        <v>0</v>
      </c>
      <c r="T160" s="227">
        <v>0</v>
      </c>
      <c r="U160" s="227">
        <f t="shared" si="189"/>
        <v>45796889</v>
      </c>
      <c r="V160" s="228">
        <f t="shared" si="190"/>
        <v>0</v>
      </c>
      <c r="W160" s="336"/>
      <c r="X160" s="14"/>
      <c r="Y160" s="14"/>
    </row>
    <row r="161" spans="1:25">
      <c r="A161" s="234" t="s">
        <v>31</v>
      </c>
      <c r="B161" s="235">
        <v>0</v>
      </c>
      <c r="C161" s="235">
        <v>0</v>
      </c>
      <c r="D161" s="235">
        <v>0</v>
      </c>
      <c r="E161" s="235">
        <v>0</v>
      </c>
      <c r="F161" s="235">
        <v>0</v>
      </c>
      <c r="G161" s="236">
        <v>0</v>
      </c>
      <c r="H161" s="235">
        <v>0</v>
      </c>
      <c r="I161" s="235">
        <v>1023120</v>
      </c>
      <c r="J161" s="229">
        <v>0</v>
      </c>
      <c r="K161" s="1036">
        <v>0</v>
      </c>
      <c r="L161" s="237">
        <v>0</v>
      </c>
      <c r="M161" s="238">
        <v>0</v>
      </c>
      <c r="N161" s="235">
        <v>0</v>
      </c>
      <c r="O161" s="235">
        <v>0</v>
      </c>
      <c r="P161" s="235">
        <v>0</v>
      </c>
      <c r="Q161" s="235">
        <v>0</v>
      </c>
      <c r="R161" s="235">
        <v>0</v>
      </c>
      <c r="S161" s="235">
        <v>0</v>
      </c>
      <c r="T161" s="235">
        <v>0</v>
      </c>
      <c r="U161" s="227">
        <f t="shared" si="189"/>
        <v>0</v>
      </c>
      <c r="V161" s="228">
        <f t="shared" si="190"/>
        <v>0</v>
      </c>
      <c r="X161" s="14"/>
      <c r="Y161" s="14"/>
    </row>
    <row r="162" spans="1:25" ht="13.5" thickBot="1">
      <c r="A162" s="239" t="s">
        <v>33</v>
      </c>
      <c r="B162" s="240">
        <v>25166489</v>
      </c>
      <c r="C162" s="240" t="e">
        <v>#REF!</v>
      </c>
      <c r="D162" s="240" t="e">
        <v>#REF!</v>
      </c>
      <c r="E162" s="240" t="e">
        <v>#REF!</v>
      </c>
      <c r="F162" s="240">
        <v>51322010</v>
      </c>
      <c r="G162" s="241">
        <v>77354899</v>
      </c>
      <c r="H162" s="240">
        <v>121662696</v>
      </c>
      <c r="I162" s="240">
        <v>179987116</v>
      </c>
      <c r="J162" s="229">
        <v>623857473</v>
      </c>
      <c r="K162" s="1037">
        <v>234734383</v>
      </c>
      <c r="L162" s="242">
        <v>191549292</v>
      </c>
      <c r="M162" s="243">
        <v>138022365</v>
      </c>
      <c r="N162" s="240">
        <v>59392239</v>
      </c>
      <c r="O162" s="240">
        <v>36340625</v>
      </c>
      <c r="P162" s="240">
        <v>32971853</v>
      </c>
      <c r="Q162" s="240">
        <v>31580337</v>
      </c>
      <c r="R162" s="240">
        <v>30574519</v>
      </c>
      <c r="S162" s="240">
        <v>30240549</v>
      </c>
      <c r="T162" s="240">
        <v>30342746</v>
      </c>
      <c r="U162" s="227">
        <f t="shared" si="189"/>
        <v>1204871998</v>
      </c>
      <c r="V162" s="228">
        <f t="shared" si="190"/>
        <v>389465233</v>
      </c>
      <c r="X162" s="14"/>
      <c r="Y162" s="14"/>
    </row>
    <row r="163" spans="1:25">
      <c r="A163" s="244"/>
      <c r="B163" s="245">
        <f>SUM(B152:B162)</f>
        <v>64233113</v>
      </c>
      <c r="C163" s="245" t="e">
        <f t="shared" ref="C163:U163" si="191">SUM(C152:C162)</f>
        <v>#REF!</v>
      </c>
      <c r="D163" s="245" t="e">
        <f t="shared" si="191"/>
        <v>#REF!</v>
      </c>
      <c r="E163" s="245" t="e">
        <f t="shared" si="191"/>
        <v>#REF!</v>
      </c>
      <c r="F163" s="245">
        <f t="shared" si="191"/>
        <v>106866512</v>
      </c>
      <c r="G163" s="245">
        <f t="shared" si="191"/>
        <v>210123298</v>
      </c>
      <c r="H163" s="246">
        <f t="shared" si="191"/>
        <v>232143167.30000001</v>
      </c>
      <c r="I163" s="246">
        <f t="shared" si="191"/>
        <v>373564523.30000001</v>
      </c>
      <c r="J163" s="246">
        <f t="shared" si="191"/>
        <v>1325402024.3</v>
      </c>
      <c r="K163" s="1038">
        <f t="shared" si="191"/>
        <v>459906645</v>
      </c>
      <c r="L163" s="247">
        <f t="shared" si="191"/>
        <v>413979088</v>
      </c>
      <c r="M163" s="245">
        <f t="shared" si="191"/>
        <v>328679823.63999999</v>
      </c>
      <c r="N163" s="245">
        <f>SUM(N152:N162)</f>
        <v>212641598</v>
      </c>
      <c r="O163" s="245">
        <f>SUM(O152:O162)</f>
        <v>173734810</v>
      </c>
      <c r="P163" s="245">
        <f t="shared" ref="P163:T163" si="192">SUM(P152:P162)</f>
        <v>129145592</v>
      </c>
      <c r="Q163" s="245">
        <f t="shared" si="192"/>
        <v>120430578</v>
      </c>
      <c r="R163" s="245">
        <f t="shared" si="192"/>
        <v>38655180</v>
      </c>
      <c r="S163" s="245">
        <f t="shared" si="192"/>
        <v>35982384</v>
      </c>
      <c r="T163" s="245">
        <f t="shared" si="192"/>
        <v>35207269</v>
      </c>
      <c r="U163" s="245">
        <f t="shared" si="191"/>
        <v>2817422636.9400001</v>
      </c>
      <c r="V163" s="245">
        <f>SUM(V152:V162)</f>
        <v>1081068664.6399999</v>
      </c>
    </row>
    <row r="164" spans="1:25">
      <c r="A164" s="248" t="s">
        <v>56</v>
      </c>
      <c r="B164" s="249">
        <f t="shared" ref="B164:V164" si="193">+B163-B151</f>
        <v>0</v>
      </c>
      <c r="C164" s="249" t="e">
        <f t="shared" si="193"/>
        <v>#REF!</v>
      </c>
      <c r="D164" s="249" t="e">
        <f t="shared" si="193"/>
        <v>#REF!</v>
      </c>
      <c r="E164" s="249" t="e">
        <f t="shared" si="193"/>
        <v>#REF!</v>
      </c>
      <c r="F164" s="249">
        <f t="shared" si="193"/>
        <v>0</v>
      </c>
      <c r="G164" s="249">
        <f t="shared" si="193"/>
        <v>0</v>
      </c>
      <c r="H164" s="250">
        <f t="shared" si="193"/>
        <v>0</v>
      </c>
      <c r="I164" s="250">
        <f t="shared" si="193"/>
        <v>0</v>
      </c>
      <c r="J164" s="250">
        <f t="shared" si="193"/>
        <v>0</v>
      </c>
      <c r="K164" s="1039">
        <f t="shared" si="193"/>
        <v>0</v>
      </c>
      <c r="L164" s="251">
        <f t="shared" si="193"/>
        <v>0</v>
      </c>
      <c r="M164" s="249">
        <f>+M163-M151</f>
        <v>0</v>
      </c>
      <c r="N164" s="249">
        <f>+N163-N151</f>
        <v>0</v>
      </c>
      <c r="O164" s="249">
        <f>+O163-O151</f>
        <v>0</v>
      </c>
      <c r="P164" s="249">
        <f t="shared" ref="P164:Q164" si="194">+P163-P151</f>
        <v>0</v>
      </c>
      <c r="Q164" s="249">
        <f t="shared" si="194"/>
        <v>0</v>
      </c>
      <c r="R164" s="249"/>
      <c r="S164" s="249"/>
      <c r="T164" s="249"/>
      <c r="U164" s="249">
        <f t="shared" si="193"/>
        <v>0</v>
      </c>
      <c r="V164" s="249">
        <f t="shared" si="193"/>
        <v>0</v>
      </c>
    </row>
    <row r="165" spans="1:25" ht="3.75" customHeight="1" thickBot="1">
      <c r="A165" s="200"/>
      <c r="B165" s="252"/>
      <c r="C165" s="252"/>
      <c r="D165" s="252"/>
      <c r="E165" s="252"/>
      <c r="F165" s="252"/>
      <c r="G165" s="252"/>
      <c r="H165" s="253"/>
      <c r="I165" s="253"/>
      <c r="J165" s="252"/>
      <c r="K165" s="1040"/>
      <c r="L165" s="254"/>
      <c r="M165" s="252"/>
      <c r="N165" s="252"/>
      <c r="O165" s="252"/>
      <c r="P165" s="252"/>
      <c r="Q165" s="252"/>
      <c r="R165" s="252"/>
      <c r="S165" s="252"/>
      <c r="T165" s="252"/>
      <c r="U165" s="252"/>
    </row>
    <row r="166" spans="1:25" ht="32.25" customHeight="1" thickBot="1">
      <c r="A166" s="255" t="s">
        <v>542</v>
      </c>
      <c r="B166" s="256">
        <f>SUM(B167:B178)</f>
        <v>41617945</v>
      </c>
      <c r="C166" s="256" t="e">
        <f t="shared" ref="C166:U166" si="195">SUM(C167:C178)</f>
        <v>#REF!</v>
      </c>
      <c r="D166" s="256" t="e">
        <f t="shared" si="195"/>
        <v>#REF!</v>
      </c>
      <c r="E166" s="256" t="e">
        <f t="shared" si="195"/>
        <v>#REF!</v>
      </c>
      <c r="F166" s="256">
        <f t="shared" si="195"/>
        <v>85458386</v>
      </c>
      <c r="G166" s="257">
        <f t="shared" si="195"/>
        <v>136543290</v>
      </c>
      <c r="H166" s="256">
        <f t="shared" si="195"/>
        <v>176246118</v>
      </c>
      <c r="I166" s="256">
        <f t="shared" si="195"/>
        <v>213347494</v>
      </c>
      <c r="J166" s="256">
        <f t="shared" si="195"/>
        <v>842549177</v>
      </c>
      <c r="K166" s="1041">
        <f t="shared" si="195"/>
        <v>286248103</v>
      </c>
      <c r="L166" s="258">
        <f t="shared" si="195"/>
        <v>275119498</v>
      </c>
      <c r="M166" s="259">
        <f t="shared" si="195"/>
        <v>190199083</v>
      </c>
      <c r="N166" s="256">
        <f t="shared" si="195"/>
        <v>92228998</v>
      </c>
      <c r="O166" s="256">
        <f t="shared" si="195"/>
        <v>52730538</v>
      </c>
      <c r="P166" s="256">
        <f t="shared" ref="P166:T166" si="196">SUM(P167:P178)</f>
        <v>34106103</v>
      </c>
      <c r="Q166" s="256">
        <f t="shared" si="196"/>
        <v>31790337</v>
      </c>
      <c r="R166" s="256">
        <f t="shared" si="196"/>
        <v>30574519</v>
      </c>
      <c r="S166" s="256">
        <f t="shared" si="196"/>
        <v>30240549</v>
      </c>
      <c r="T166" s="256">
        <f t="shared" si="196"/>
        <v>30342746</v>
      </c>
      <c r="U166" s="256">
        <f t="shared" si="195"/>
        <v>1609881548</v>
      </c>
      <c r="V166" s="1504"/>
    </row>
    <row r="167" spans="1:25">
      <c r="A167" s="226" t="s">
        <v>70</v>
      </c>
      <c r="B167" s="260">
        <v>0</v>
      </c>
      <c r="C167" s="260">
        <v>0</v>
      </c>
      <c r="D167" s="260">
        <v>0</v>
      </c>
      <c r="E167" s="260">
        <v>0</v>
      </c>
      <c r="F167" s="260">
        <v>453868</v>
      </c>
      <c r="G167" s="261">
        <v>569798</v>
      </c>
      <c r="H167" s="260">
        <v>474487</v>
      </c>
      <c r="I167" s="260">
        <v>126548</v>
      </c>
      <c r="J167" s="260">
        <v>1639278</v>
      </c>
      <c r="K167" s="1042">
        <v>14577</v>
      </c>
      <c r="L167" s="262">
        <v>48735</v>
      </c>
      <c r="M167" s="263">
        <v>0</v>
      </c>
      <c r="N167" s="260">
        <v>0</v>
      </c>
      <c r="O167" s="260">
        <v>0</v>
      </c>
      <c r="P167" s="260">
        <v>0</v>
      </c>
      <c r="Q167" s="260">
        <v>0</v>
      </c>
      <c r="R167" s="1546">
        <v>0</v>
      </c>
      <c r="S167" s="1546">
        <v>0</v>
      </c>
      <c r="T167" s="1546">
        <v>0</v>
      </c>
      <c r="U167" s="227">
        <f>J167+L167+M167+N167+O167+P167+Q167+R167+S167+T167</f>
        <v>1688013</v>
      </c>
      <c r="V167" s="1503"/>
    </row>
    <row r="168" spans="1:25">
      <c r="A168" s="232" t="s">
        <v>25</v>
      </c>
      <c r="B168" s="227">
        <v>473501</v>
      </c>
      <c r="C168" s="227" t="e">
        <v>#REF!</v>
      </c>
      <c r="D168" s="227" t="e">
        <v>#REF!</v>
      </c>
      <c r="E168" s="227" t="e">
        <v>#REF!</v>
      </c>
      <c r="F168" s="227">
        <v>642141</v>
      </c>
      <c r="G168" s="228">
        <v>8751565</v>
      </c>
      <c r="H168" s="227">
        <v>2800194</v>
      </c>
      <c r="I168" s="227">
        <v>5158660</v>
      </c>
      <c r="J168" s="227">
        <v>34572757</v>
      </c>
      <c r="K168" s="1035">
        <v>18566348</v>
      </c>
      <c r="L168" s="230">
        <v>33628909</v>
      </c>
      <c r="M168" s="231">
        <v>8845977</v>
      </c>
      <c r="N168" s="227">
        <v>1239250</v>
      </c>
      <c r="O168" s="227">
        <v>1239250</v>
      </c>
      <c r="P168" s="227">
        <v>1134250</v>
      </c>
      <c r="Q168" s="227">
        <v>210000</v>
      </c>
      <c r="R168" s="227">
        <v>0</v>
      </c>
      <c r="S168" s="227">
        <v>0</v>
      </c>
      <c r="T168" s="227">
        <v>0</v>
      </c>
      <c r="U168" s="227">
        <f t="shared" ref="U168:U178" si="197">J168+L168+M168+N168+O168+P168+Q168+R168+S168+T168</f>
        <v>80870393</v>
      </c>
      <c r="V168" s="1503"/>
    </row>
    <row r="169" spans="1:25" ht="14.25" customHeight="1">
      <c r="A169" s="232" t="s">
        <v>27</v>
      </c>
      <c r="B169" s="227">
        <v>279786</v>
      </c>
      <c r="C169" s="227">
        <v>0</v>
      </c>
      <c r="D169" s="227">
        <v>0</v>
      </c>
      <c r="E169" s="227">
        <v>279786</v>
      </c>
      <c r="F169" s="227">
        <v>7461875</v>
      </c>
      <c r="G169" s="228">
        <v>4145000</v>
      </c>
      <c r="H169" s="227">
        <v>6242425</v>
      </c>
      <c r="I169" s="227">
        <v>5702760</v>
      </c>
      <c r="J169" s="227">
        <v>24930022</v>
      </c>
      <c r="K169" s="1035">
        <v>6065557</v>
      </c>
      <c r="L169" s="230">
        <v>2107218</v>
      </c>
      <c r="M169" s="231">
        <v>0</v>
      </c>
      <c r="N169" s="227">
        <v>0</v>
      </c>
      <c r="O169" s="227">
        <v>0</v>
      </c>
      <c r="P169" s="227">
        <v>0</v>
      </c>
      <c r="Q169" s="227">
        <v>0</v>
      </c>
      <c r="R169" s="227">
        <v>0</v>
      </c>
      <c r="S169" s="227">
        <v>0</v>
      </c>
      <c r="T169" s="227">
        <v>0</v>
      </c>
      <c r="U169" s="227">
        <f t="shared" si="197"/>
        <v>27037240</v>
      </c>
      <c r="V169" s="1503"/>
    </row>
    <row r="170" spans="1:25" ht="14.25" customHeight="1">
      <c r="A170" s="232" t="s">
        <v>68</v>
      </c>
      <c r="B170" s="227">
        <v>0</v>
      </c>
      <c r="C170" s="227">
        <v>0</v>
      </c>
      <c r="D170" s="227">
        <v>0</v>
      </c>
      <c r="E170" s="227">
        <v>0</v>
      </c>
      <c r="F170" s="227">
        <v>8238536</v>
      </c>
      <c r="G170" s="228">
        <v>6250000</v>
      </c>
      <c r="H170" s="227">
        <v>10099132</v>
      </c>
      <c r="I170" s="227">
        <v>10537789</v>
      </c>
      <c r="J170" s="227">
        <v>32523596</v>
      </c>
      <c r="K170" s="1035">
        <v>7248125</v>
      </c>
      <c r="L170" s="230">
        <v>7723980</v>
      </c>
      <c r="M170" s="231">
        <v>4853034</v>
      </c>
      <c r="N170" s="227">
        <v>0</v>
      </c>
      <c r="O170" s="227">
        <v>3704000</v>
      </c>
      <c r="P170" s="227">
        <v>0</v>
      </c>
      <c r="Q170" s="227">
        <v>0</v>
      </c>
      <c r="R170" s="227">
        <v>0</v>
      </c>
      <c r="S170" s="227">
        <v>0</v>
      </c>
      <c r="T170" s="227">
        <v>0</v>
      </c>
      <c r="U170" s="227">
        <f t="shared" si="197"/>
        <v>48804610</v>
      </c>
      <c r="V170" s="1503"/>
    </row>
    <row r="171" spans="1:25">
      <c r="A171" s="226" t="s">
        <v>24</v>
      </c>
      <c r="B171" s="227">
        <v>0</v>
      </c>
      <c r="C171" s="227">
        <v>0</v>
      </c>
      <c r="D171" s="227">
        <v>0</v>
      </c>
      <c r="E171" s="227">
        <v>0</v>
      </c>
      <c r="F171" s="227">
        <v>101937</v>
      </c>
      <c r="G171" s="228">
        <v>220330</v>
      </c>
      <c r="H171" s="227">
        <v>1345053</v>
      </c>
      <c r="I171" s="227">
        <v>2037072</v>
      </c>
      <c r="J171" s="227">
        <v>7082533</v>
      </c>
      <c r="K171" s="1035">
        <v>3378141</v>
      </c>
      <c r="L171" s="230">
        <v>23154367</v>
      </c>
      <c r="M171" s="231">
        <v>16324964</v>
      </c>
      <c r="N171" s="227">
        <v>10500000</v>
      </c>
      <c r="O171" s="227">
        <v>10500000</v>
      </c>
      <c r="P171" s="227">
        <v>0</v>
      </c>
      <c r="Q171" s="227">
        <v>0</v>
      </c>
      <c r="R171" s="227">
        <v>0</v>
      </c>
      <c r="S171" s="227">
        <v>0</v>
      </c>
      <c r="T171" s="227">
        <v>0</v>
      </c>
      <c r="U171" s="227">
        <f t="shared" si="197"/>
        <v>67561864</v>
      </c>
      <c r="V171" s="1503"/>
    </row>
    <row r="172" spans="1:25">
      <c r="A172" s="232" t="s">
        <v>73</v>
      </c>
      <c r="B172" s="227">
        <v>5935894</v>
      </c>
      <c r="C172" s="227">
        <v>0</v>
      </c>
      <c r="D172" s="227">
        <v>0</v>
      </c>
      <c r="E172" s="227">
        <v>6647405</v>
      </c>
      <c r="F172" s="227">
        <v>10285500</v>
      </c>
      <c r="G172" s="228">
        <v>12796084</v>
      </c>
      <c r="H172" s="227">
        <v>12792166</v>
      </c>
      <c r="I172" s="227">
        <v>9659941</v>
      </c>
      <c r="J172" s="227">
        <v>61351116</v>
      </c>
      <c r="K172" s="1035">
        <v>9881531</v>
      </c>
      <c r="L172" s="230">
        <v>4275236</v>
      </c>
      <c r="M172" s="231">
        <v>0</v>
      </c>
      <c r="N172" s="227">
        <v>0</v>
      </c>
      <c r="O172" s="227">
        <v>0</v>
      </c>
      <c r="P172" s="227">
        <v>0</v>
      </c>
      <c r="Q172" s="227">
        <v>0</v>
      </c>
      <c r="R172" s="227">
        <v>0</v>
      </c>
      <c r="S172" s="227">
        <v>0</v>
      </c>
      <c r="T172" s="227">
        <v>0</v>
      </c>
      <c r="U172" s="227">
        <f t="shared" si="197"/>
        <v>65626352</v>
      </c>
      <c r="V172" s="1503"/>
    </row>
    <row r="173" spans="1:25">
      <c r="A173" s="232" t="s">
        <v>74</v>
      </c>
      <c r="B173" s="227">
        <v>10594223</v>
      </c>
      <c r="C173" s="227">
        <v>0</v>
      </c>
      <c r="D173" s="227">
        <v>0</v>
      </c>
      <c r="E173" s="227">
        <v>3058368</v>
      </c>
      <c r="F173" s="227">
        <v>17692550</v>
      </c>
      <c r="G173" s="228">
        <v>2998223</v>
      </c>
      <c r="H173" s="227">
        <v>3753212</v>
      </c>
      <c r="I173" s="227">
        <v>4711864</v>
      </c>
      <c r="J173" s="227">
        <v>44183146</v>
      </c>
      <c r="K173" s="1035">
        <v>4433074</v>
      </c>
      <c r="L173" s="230">
        <v>1613743</v>
      </c>
      <c r="M173" s="231">
        <v>0</v>
      </c>
      <c r="N173" s="227">
        <v>0</v>
      </c>
      <c r="O173" s="227">
        <v>0</v>
      </c>
      <c r="P173" s="227">
        <v>0</v>
      </c>
      <c r="Q173" s="227">
        <v>0</v>
      </c>
      <c r="R173" s="227">
        <v>0</v>
      </c>
      <c r="S173" s="227">
        <v>0</v>
      </c>
      <c r="T173" s="227">
        <v>0</v>
      </c>
      <c r="U173" s="227">
        <f t="shared" si="197"/>
        <v>45796889</v>
      </c>
      <c r="V173" s="1503"/>
    </row>
    <row r="174" spans="1:25">
      <c r="A174" s="232" t="s">
        <v>29</v>
      </c>
      <c r="B174" s="227">
        <v>0</v>
      </c>
      <c r="C174" s="227">
        <v>0</v>
      </c>
      <c r="D174" s="227">
        <v>0</v>
      </c>
      <c r="E174" s="227">
        <v>0</v>
      </c>
      <c r="F174" s="227">
        <v>0</v>
      </c>
      <c r="G174" s="228">
        <v>18718271</v>
      </c>
      <c r="H174" s="227">
        <v>16003036</v>
      </c>
      <c r="I174" s="227">
        <v>3705956</v>
      </c>
      <c r="J174" s="227">
        <v>28989693</v>
      </c>
      <c r="K174" s="1035">
        <v>2875044</v>
      </c>
      <c r="L174" s="230">
        <v>703994</v>
      </c>
      <c r="M174" s="231">
        <v>0</v>
      </c>
      <c r="N174" s="227">
        <v>0</v>
      </c>
      <c r="O174" s="227">
        <v>0</v>
      </c>
      <c r="P174" s="227">
        <v>0</v>
      </c>
      <c r="Q174" s="227">
        <v>0</v>
      </c>
      <c r="R174" s="227">
        <v>0</v>
      </c>
      <c r="S174" s="227">
        <v>0</v>
      </c>
      <c r="T174" s="227">
        <v>0</v>
      </c>
      <c r="U174" s="227">
        <f t="shared" si="197"/>
        <v>29693687</v>
      </c>
      <c r="V174" s="1503"/>
    </row>
    <row r="175" spans="1:25" ht="24">
      <c r="A175" s="232" t="s">
        <v>38</v>
      </c>
      <c r="B175" s="227">
        <v>0</v>
      </c>
      <c r="C175" s="227">
        <v>0</v>
      </c>
      <c r="D175" s="227">
        <v>0</v>
      </c>
      <c r="E175" s="227">
        <v>0</v>
      </c>
      <c r="F175" s="227">
        <v>0</v>
      </c>
      <c r="G175" s="228">
        <v>0</v>
      </c>
      <c r="H175" s="227">
        <v>0</v>
      </c>
      <c r="I175" s="227">
        <v>841481</v>
      </c>
      <c r="J175" s="1266">
        <v>841481</v>
      </c>
      <c r="K175" s="1267">
        <v>0</v>
      </c>
      <c r="L175" s="1268">
        <v>0</v>
      </c>
      <c r="M175" s="1269">
        <v>0</v>
      </c>
      <c r="N175" s="1266">
        <v>0</v>
      </c>
      <c r="O175" s="1266">
        <v>0</v>
      </c>
      <c r="P175" s="1266">
        <v>0</v>
      </c>
      <c r="Q175" s="1266">
        <v>0</v>
      </c>
      <c r="R175" s="1266">
        <v>0</v>
      </c>
      <c r="S175" s="1266">
        <v>0</v>
      </c>
      <c r="T175" s="1266">
        <v>0</v>
      </c>
      <c r="U175" s="227">
        <f t="shared" si="197"/>
        <v>841481</v>
      </c>
      <c r="V175" s="1505"/>
    </row>
    <row r="176" spans="1:25" ht="13.5" customHeight="1">
      <c r="A176" s="232" t="s">
        <v>32</v>
      </c>
      <c r="B176" s="227">
        <v>0</v>
      </c>
      <c r="C176" s="227" t="e">
        <v>#REF!</v>
      </c>
      <c r="D176" s="227" t="e">
        <v>#REF!</v>
      </c>
      <c r="E176" s="227" t="e">
        <v>#REF!</v>
      </c>
      <c r="F176" s="227">
        <v>1361604</v>
      </c>
      <c r="G176" s="228">
        <v>6341970</v>
      </c>
      <c r="H176" s="227">
        <v>5828817</v>
      </c>
      <c r="I176" s="227">
        <v>8011553</v>
      </c>
      <c r="J176" s="227">
        <v>21855109</v>
      </c>
      <c r="K176" s="1035">
        <v>362050</v>
      </c>
      <c r="L176" s="230">
        <v>296311</v>
      </c>
      <c r="M176" s="231">
        <v>7105906</v>
      </c>
      <c r="N176" s="227">
        <v>6237650</v>
      </c>
      <c r="O176" s="227">
        <v>1594045</v>
      </c>
      <c r="P176" s="227">
        <v>0</v>
      </c>
      <c r="Q176" s="227">
        <v>0</v>
      </c>
      <c r="R176" s="227">
        <v>0</v>
      </c>
      <c r="S176" s="227">
        <v>0</v>
      </c>
      <c r="T176" s="227">
        <v>0</v>
      </c>
      <c r="U176" s="227">
        <f t="shared" si="197"/>
        <v>37089021</v>
      </c>
      <c r="V176" s="1503"/>
    </row>
    <row r="177" spans="1:22" ht="14.25" customHeight="1">
      <c r="A177" s="264" t="s">
        <v>31</v>
      </c>
      <c r="B177" s="235">
        <v>0</v>
      </c>
      <c r="C177" s="235">
        <v>0</v>
      </c>
      <c r="D177" s="235">
        <v>0</v>
      </c>
      <c r="E177" s="235">
        <v>0</v>
      </c>
      <c r="F177" s="235">
        <v>0</v>
      </c>
      <c r="G177" s="236">
        <v>0</v>
      </c>
      <c r="H177" s="235">
        <v>0</v>
      </c>
      <c r="I177" s="235">
        <v>1023120</v>
      </c>
      <c r="J177" s="227">
        <v>0</v>
      </c>
      <c r="K177" s="1036">
        <v>0</v>
      </c>
      <c r="L177" s="237">
        <v>0</v>
      </c>
      <c r="M177" s="238">
        <v>0</v>
      </c>
      <c r="N177" s="235">
        <v>0</v>
      </c>
      <c r="O177" s="235">
        <v>0</v>
      </c>
      <c r="P177" s="235">
        <v>0</v>
      </c>
      <c r="Q177" s="235">
        <v>0</v>
      </c>
      <c r="R177" s="235">
        <v>0</v>
      </c>
      <c r="S177" s="235">
        <v>0</v>
      </c>
      <c r="T177" s="235">
        <v>0</v>
      </c>
      <c r="U177" s="227">
        <f t="shared" si="197"/>
        <v>0</v>
      </c>
      <c r="V177" s="1503"/>
    </row>
    <row r="178" spans="1:22" ht="13.5" thickBot="1">
      <c r="A178" s="239" t="s">
        <v>33</v>
      </c>
      <c r="B178" s="240">
        <v>24334541</v>
      </c>
      <c r="C178" s="240" t="e">
        <v>#REF!</v>
      </c>
      <c r="D178" s="240" t="e">
        <v>#REF!</v>
      </c>
      <c r="E178" s="240" t="e">
        <v>#REF!</v>
      </c>
      <c r="F178" s="240">
        <v>39220375</v>
      </c>
      <c r="G178" s="241">
        <v>75752049</v>
      </c>
      <c r="H178" s="240">
        <v>116907596</v>
      </c>
      <c r="I178" s="240">
        <v>161830750</v>
      </c>
      <c r="J178" s="1188">
        <v>584580446</v>
      </c>
      <c r="K178" s="1037">
        <v>233423656</v>
      </c>
      <c r="L178" s="242">
        <v>201567005</v>
      </c>
      <c r="M178" s="243">
        <v>153069202</v>
      </c>
      <c r="N178" s="240">
        <v>74252098</v>
      </c>
      <c r="O178" s="240">
        <v>35693243</v>
      </c>
      <c r="P178" s="240">
        <v>32971853</v>
      </c>
      <c r="Q178" s="240">
        <v>31580337</v>
      </c>
      <c r="R178" s="240">
        <v>30574519</v>
      </c>
      <c r="S178" s="240">
        <v>30240549</v>
      </c>
      <c r="T178" s="240">
        <v>30342746</v>
      </c>
      <c r="U178" s="227">
        <f t="shared" si="197"/>
        <v>1204871998</v>
      </c>
      <c r="V178" s="1503"/>
    </row>
    <row r="179" spans="1:22">
      <c r="A179" s="265"/>
      <c r="B179" s="266">
        <f>SUM(B167:B178)</f>
        <v>41617945</v>
      </c>
      <c r="C179" s="266" t="e">
        <f t="shared" ref="C179:U179" si="198">SUM(C167:C178)</f>
        <v>#REF!</v>
      </c>
      <c r="D179" s="266" t="e">
        <f t="shared" si="198"/>
        <v>#REF!</v>
      </c>
      <c r="E179" s="266" t="e">
        <f t="shared" si="198"/>
        <v>#REF!</v>
      </c>
      <c r="F179" s="266">
        <f t="shared" si="198"/>
        <v>85458386</v>
      </c>
      <c r="G179" s="266">
        <f t="shared" si="198"/>
        <v>136543290</v>
      </c>
      <c r="H179" s="267">
        <f t="shared" si="198"/>
        <v>176246118</v>
      </c>
      <c r="I179" s="267">
        <f t="shared" si="198"/>
        <v>213347494</v>
      </c>
      <c r="J179" s="267">
        <f t="shared" si="198"/>
        <v>842549177</v>
      </c>
      <c r="K179" s="1043">
        <f t="shared" si="198"/>
        <v>286248103</v>
      </c>
      <c r="L179" s="268">
        <f t="shared" si="198"/>
        <v>275119498</v>
      </c>
      <c r="M179" s="266">
        <f t="shared" si="198"/>
        <v>190199083</v>
      </c>
      <c r="N179" s="266">
        <f t="shared" si="198"/>
        <v>92228998</v>
      </c>
      <c r="O179" s="266">
        <f t="shared" si="198"/>
        <v>52730538</v>
      </c>
      <c r="P179" s="266">
        <f t="shared" si="198"/>
        <v>34106103</v>
      </c>
      <c r="Q179" s="266">
        <f t="shared" si="198"/>
        <v>31790337</v>
      </c>
      <c r="R179" s="266">
        <f t="shared" si="198"/>
        <v>30574519</v>
      </c>
      <c r="S179" s="266">
        <f t="shared" si="198"/>
        <v>30240549</v>
      </c>
      <c r="T179" s="266">
        <f t="shared" si="198"/>
        <v>30342746</v>
      </c>
      <c r="U179" s="266">
        <f t="shared" si="198"/>
        <v>1609881548</v>
      </c>
      <c r="V179" s="269"/>
    </row>
    <row r="180" spans="1:22" ht="17.25" customHeight="1" thickBot="1">
      <c r="A180" s="270"/>
      <c r="B180" s="155" t="s">
        <v>6</v>
      </c>
      <c r="C180" s="271" t="s">
        <v>7</v>
      </c>
      <c r="D180" s="271" t="s">
        <v>8</v>
      </c>
      <c r="E180" s="271" t="s">
        <v>9</v>
      </c>
      <c r="F180" s="155" t="s">
        <v>10</v>
      </c>
      <c r="G180" s="154" t="s">
        <v>11</v>
      </c>
      <c r="H180" s="155" t="s">
        <v>12</v>
      </c>
      <c r="I180" s="155" t="s">
        <v>13</v>
      </c>
      <c r="J180" s="1137" t="s">
        <v>380</v>
      </c>
      <c r="K180" s="1044" t="s">
        <v>14</v>
      </c>
      <c r="L180" s="272" t="s">
        <v>15</v>
      </c>
      <c r="M180" s="157" t="s">
        <v>16</v>
      </c>
      <c r="N180" s="155" t="s">
        <v>17</v>
      </c>
      <c r="O180" s="155" t="s">
        <v>18</v>
      </c>
      <c r="P180" s="155" t="s">
        <v>376</v>
      </c>
      <c r="Q180" s="155" t="s">
        <v>381</v>
      </c>
      <c r="R180" s="155" t="s">
        <v>491</v>
      </c>
      <c r="S180" s="155" t="s">
        <v>492</v>
      </c>
      <c r="T180" s="155" t="s">
        <v>490</v>
      </c>
      <c r="U180" s="158" t="s">
        <v>61</v>
      </c>
    </row>
    <row r="181" spans="1:22" ht="9" customHeight="1">
      <c r="A181" s="1486"/>
      <c r="B181" s="1487"/>
      <c r="C181" s="1487"/>
      <c r="D181" s="1487"/>
      <c r="E181" s="1487"/>
      <c r="F181" s="1487"/>
      <c r="G181" s="1488"/>
      <c r="H181" s="1487"/>
      <c r="I181" s="1487"/>
      <c r="J181" s="1489"/>
      <c r="K181" s="1490"/>
      <c r="L181" s="1491"/>
      <c r="M181" s="1492"/>
      <c r="N181" s="1487"/>
      <c r="O181" s="1487"/>
      <c r="P181" s="1487"/>
      <c r="Q181" s="1487"/>
      <c r="R181" s="1487"/>
      <c r="S181" s="1487"/>
      <c r="T181" s="1487"/>
      <c r="U181" s="1487"/>
      <c r="V181" s="1506"/>
    </row>
    <row r="182" spans="1:22" ht="13.5" thickBot="1">
      <c r="A182" s="1493" t="s">
        <v>75</v>
      </c>
      <c r="B182" s="1494" t="e">
        <f t="shared" ref="B182:U185" si="199">+B120-B151</f>
        <v>#REF!</v>
      </c>
      <c r="C182" s="1494" t="e">
        <f t="shared" si="199"/>
        <v>#REF!</v>
      </c>
      <c r="D182" s="1494" t="e">
        <f t="shared" si="199"/>
        <v>#REF!</v>
      </c>
      <c r="E182" s="1494" t="e">
        <f t="shared" si="199"/>
        <v>#REF!</v>
      </c>
      <c r="F182" s="1494" t="e">
        <f t="shared" si="199"/>
        <v>#REF!</v>
      </c>
      <c r="G182" s="1495" t="e">
        <f t="shared" si="199"/>
        <v>#REF!</v>
      </c>
      <c r="H182" s="1494" t="e">
        <f t="shared" si="199"/>
        <v>#REF!</v>
      </c>
      <c r="I182" s="1494" t="e">
        <f t="shared" si="199"/>
        <v>#REF!</v>
      </c>
      <c r="J182" s="1494">
        <f t="shared" si="199"/>
        <v>-16876274</v>
      </c>
      <c r="K182" s="1496">
        <f t="shared" si="199"/>
        <v>-249758</v>
      </c>
      <c r="L182" s="1497">
        <f t="shared" si="199"/>
        <v>-9983271</v>
      </c>
      <c r="M182" s="1498">
        <f t="shared" si="199"/>
        <v>-3675339</v>
      </c>
      <c r="N182" s="1494">
        <f t="shared" si="199"/>
        <v>173497672</v>
      </c>
      <c r="O182" s="1494">
        <f t="shared" si="199"/>
        <v>142974092</v>
      </c>
      <c r="P182" s="1494">
        <f t="shared" ref="P182:T182" si="200">+P120-P151</f>
        <v>34665752</v>
      </c>
      <c r="Q182" s="1494">
        <f t="shared" si="200"/>
        <v>14955700</v>
      </c>
      <c r="R182" s="1494">
        <f t="shared" si="200"/>
        <v>0</v>
      </c>
      <c r="S182" s="1494">
        <f t="shared" si="200"/>
        <v>0</v>
      </c>
      <c r="T182" s="1494">
        <f t="shared" si="200"/>
        <v>0</v>
      </c>
      <c r="U182" s="1494">
        <f>+U120-U151</f>
        <v>335558331.99999952</v>
      </c>
      <c r="V182" s="1507"/>
    </row>
    <row r="183" spans="1:22">
      <c r="A183" s="273" t="s">
        <v>24</v>
      </c>
      <c r="B183" s="274" t="e">
        <f t="shared" si="199"/>
        <v>#REF!</v>
      </c>
      <c r="C183" s="274" t="e">
        <f t="shared" si="199"/>
        <v>#REF!</v>
      </c>
      <c r="D183" s="274" t="e">
        <f t="shared" si="199"/>
        <v>#REF!</v>
      </c>
      <c r="E183" s="274" t="e">
        <f t="shared" si="199"/>
        <v>#REF!</v>
      </c>
      <c r="F183" s="274" t="e">
        <f t="shared" si="199"/>
        <v>#REF!</v>
      </c>
      <c r="G183" s="275" t="e">
        <f t="shared" si="199"/>
        <v>#REF!</v>
      </c>
      <c r="H183" s="274" t="e">
        <f t="shared" si="199"/>
        <v>#REF!</v>
      </c>
      <c r="I183" s="274" t="e">
        <f t="shared" si="199"/>
        <v>#REF!</v>
      </c>
      <c r="J183" s="274">
        <f t="shared" ref="J183" si="201">+J121-J152</f>
        <v>-2664880</v>
      </c>
      <c r="K183" s="1045">
        <f t="shared" si="199"/>
        <v>634520</v>
      </c>
      <c r="L183" s="276">
        <f t="shared" si="199"/>
        <v>-1114894</v>
      </c>
      <c r="M183" s="277">
        <f t="shared" si="199"/>
        <v>-50370</v>
      </c>
      <c r="N183" s="274">
        <f t="shared" si="199"/>
        <v>5452468</v>
      </c>
      <c r="O183" s="274">
        <f t="shared" si="199"/>
        <v>18235238</v>
      </c>
      <c r="P183" s="274">
        <f t="shared" ref="P183:Q183" si="202">+P121-P152</f>
        <v>1843404</v>
      </c>
      <c r="Q183" s="274">
        <f t="shared" si="202"/>
        <v>825200</v>
      </c>
      <c r="R183" s="274">
        <f t="shared" ref="R183:T183" si="203">+R121-R152</f>
        <v>0</v>
      </c>
      <c r="S183" s="274">
        <f t="shared" si="203"/>
        <v>0</v>
      </c>
      <c r="T183" s="274">
        <f t="shared" si="203"/>
        <v>0</v>
      </c>
      <c r="U183" s="279">
        <f>+U121-U152</f>
        <v>22526166</v>
      </c>
      <c r="V183" s="1508"/>
    </row>
    <row r="184" spans="1:22">
      <c r="A184" s="278" t="s">
        <v>66</v>
      </c>
      <c r="B184" s="279">
        <f t="shared" si="199"/>
        <v>0</v>
      </c>
      <c r="C184" s="279" t="e">
        <f t="shared" si="199"/>
        <v>#REF!</v>
      </c>
      <c r="D184" s="279" t="e">
        <f t="shared" si="199"/>
        <v>#REF!</v>
      </c>
      <c r="E184" s="279" t="e">
        <f t="shared" si="199"/>
        <v>#REF!</v>
      </c>
      <c r="F184" s="279">
        <f t="shared" si="199"/>
        <v>0</v>
      </c>
      <c r="G184" s="280">
        <f t="shared" si="199"/>
        <v>0</v>
      </c>
      <c r="H184" s="279">
        <f t="shared" si="199"/>
        <v>0</v>
      </c>
      <c r="I184" s="279">
        <f t="shared" si="199"/>
        <v>-1771235</v>
      </c>
      <c r="J184" s="279">
        <f t="shared" ref="J184" si="204">+J122-J153</f>
        <v>0</v>
      </c>
      <c r="K184" s="1046">
        <f t="shared" si="199"/>
        <v>0</v>
      </c>
      <c r="L184" s="281">
        <f t="shared" si="199"/>
        <v>-2413360</v>
      </c>
      <c r="M184" s="282">
        <f t="shared" si="199"/>
        <v>0</v>
      </c>
      <c r="N184" s="279">
        <f t="shared" si="199"/>
        <v>0</v>
      </c>
      <c r="O184" s="279">
        <f t="shared" si="199"/>
        <v>0</v>
      </c>
      <c r="P184" s="279">
        <f t="shared" ref="P184:Q184" si="205">+P122-P153</f>
        <v>0</v>
      </c>
      <c r="Q184" s="279">
        <f t="shared" si="205"/>
        <v>0</v>
      </c>
      <c r="R184" s="279">
        <f t="shared" ref="R184:T184" si="206">+R122-R153</f>
        <v>0</v>
      </c>
      <c r="S184" s="279">
        <f t="shared" si="206"/>
        <v>0</v>
      </c>
      <c r="T184" s="279">
        <f t="shared" si="206"/>
        <v>0</v>
      </c>
      <c r="U184" s="279">
        <f>+U122-U153</f>
        <v>-2413360</v>
      </c>
      <c r="V184" s="1508"/>
    </row>
    <row r="185" spans="1:22">
      <c r="A185" s="278" t="s">
        <v>25</v>
      </c>
      <c r="B185" s="279">
        <f t="shared" si="199"/>
        <v>-469627</v>
      </c>
      <c r="C185" s="279" t="e">
        <f t="shared" si="199"/>
        <v>#REF!</v>
      </c>
      <c r="D185" s="279" t="e">
        <f t="shared" si="199"/>
        <v>#REF!</v>
      </c>
      <c r="E185" s="279" t="e">
        <f t="shared" si="199"/>
        <v>#REF!</v>
      </c>
      <c r="F185" s="279">
        <f t="shared" si="199"/>
        <v>-546477</v>
      </c>
      <c r="G185" s="280">
        <f t="shared" si="199"/>
        <v>-391033</v>
      </c>
      <c r="H185" s="279">
        <f t="shared" si="199"/>
        <v>-462835</v>
      </c>
      <c r="I185" s="279">
        <f t="shared" si="199"/>
        <v>-479233</v>
      </c>
      <c r="J185" s="279">
        <f t="shared" ref="J185" si="207">+J123-J154</f>
        <v>-575625</v>
      </c>
      <c r="K185" s="1046">
        <f t="shared" si="199"/>
        <v>0</v>
      </c>
      <c r="L185" s="281">
        <f t="shared" si="199"/>
        <v>-256094</v>
      </c>
      <c r="M185" s="282">
        <f t="shared" si="199"/>
        <v>165740</v>
      </c>
      <c r="N185" s="279">
        <f t="shared" si="199"/>
        <v>617655</v>
      </c>
      <c r="O185" s="279">
        <f t="shared" si="199"/>
        <v>163259</v>
      </c>
      <c r="P185" s="279">
        <f t="shared" ref="P185:Q185" si="208">+P123-P154</f>
        <v>0</v>
      </c>
      <c r="Q185" s="279">
        <f t="shared" si="208"/>
        <v>0</v>
      </c>
      <c r="R185" s="279">
        <f t="shared" ref="R185:T185" si="209">+R123-R154</f>
        <v>0</v>
      </c>
      <c r="S185" s="279">
        <f t="shared" si="209"/>
        <v>0</v>
      </c>
      <c r="T185" s="279">
        <f t="shared" si="209"/>
        <v>0</v>
      </c>
      <c r="U185" s="279">
        <f t="shared" si="199"/>
        <v>114935</v>
      </c>
      <c r="V185" s="1508"/>
    </row>
    <row r="186" spans="1:22">
      <c r="A186" s="278" t="s">
        <v>27</v>
      </c>
      <c r="B186" s="279">
        <f t="shared" ref="B186:U189" si="210">+B125-B156</f>
        <v>-3643961</v>
      </c>
      <c r="C186" s="279">
        <f t="shared" si="210"/>
        <v>0</v>
      </c>
      <c r="D186" s="279">
        <f t="shared" si="210"/>
        <v>0</v>
      </c>
      <c r="E186" s="279">
        <f t="shared" si="210"/>
        <v>-3643961</v>
      </c>
      <c r="F186" s="279">
        <f t="shared" si="210"/>
        <v>-1323420</v>
      </c>
      <c r="G186" s="280">
        <f t="shared" si="210"/>
        <v>0</v>
      </c>
      <c r="H186" s="279">
        <f t="shared" si="210"/>
        <v>0</v>
      </c>
      <c r="I186" s="279">
        <f t="shared" si="210"/>
        <v>0</v>
      </c>
      <c r="J186" s="279">
        <f t="shared" ref="J186" si="211">+J125-J156</f>
        <v>0</v>
      </c>
      <c r="K186" s="1046">
        <f t="shared" si="210"/>
        <v>0</v>
      </c>
      <c r="L186" s="281">
        <f t="shared" si="210"/>
        <v>-25905</v>
      </c>
      <c r="M186" s="282">
        <f t="shared" si="210"/>
        <v>1398414</v>
      </c>
      <c r="N186" s="279">
        <f t="shared" si="210"/>
        <v>0</v>
      </c>
      <c r="O186" s="279">
        <f t="shared" si="210"/>
        <v>0</v>
      </c>
      <c r="P186" s="279">
        <f t="shared" ref="P186:Q186" si="212">+P125-P156</f>
        <v>0</v>
      </c>
      <c r="Q186" s="279">
        <f t="shared" si="212"/>
        <v>0</v>
      </c>
      <c r="R186" s="279">
        <f t="shared" ref="R186:T186" si="213">+R125-R156</f>
        <v>0</v>
      </c>
      <c r="S186" s="279">
        <f t="shared" si="213"/>
        <v>0</v>
      </c>
      <c r="T186" s="279">
        <f t="shared" si="213"/>
        <v>0</v>
      </c>
      <c r="U186" s="279">
        <f t="shared" si="210"/>
        <v>1372509</v>
      </c>
      <c r="V186" s="1508"/>
    </row>
    <row r="187" spans="1:22">
      <c r="A187" s="278" t="s">
        <v>68</v>
      </c>
      <c r="B187" s="279">
        <f t="shared" si="210"/>
        <v>0</v>
      </c>
      <c r="C187" s="279">
        <f t="shared" si="210"/>
        <v>0</v>
      </c>
      <c r="D187" s="279">
        <f t="shared" si="210"/>
        <v>0</v>
      </c>
      <c r="E187" s="279">
        <f t="shared" si="210"/>
        <v>0</v>
      </c>
      <c r="F187" s="279">
        <f t="shared" si="210"/>
        <v>0</v>
      </c>
      <c r="G187" s="280">
        <f t="shared" si="210"/>
        <v>0</v>
      </c>
      <c r="H187" s="279">
        <f t="shared" si="210"/>
        <v>-47355</v>
      </c>
      <c r="I187" s="279">
        <f t="shared" si="210"/>
        <v>-6246450</v>
      </c>
      <c r="J187" s="279">
        <f t="shared" ref="J187" si="214">+J126-J157</f>
        <v>-1045480</v>
      </c>
      <c r="K187" s="1046">
        <f t="shared" si="210"/>
        <v>-998125</v>
      </c>
      <c r="L187" s="281">
        <f t="shared" si="210"/>
        <v>-1170730</v>
      </c>
      <c r="M187" s="282">
        <f t="shared" si="210"/>
        <v>5344094</v>
      </c>
      <c r="N187" s="279">
        <f t="shared" si="210"/>
        <v>20946856</v>
      </c>
      <c r="O187" s="279">
        <f t="shared" si="210"/>
        <v>8696585</v>
      </c>
      <c r="P187" s="279">
        <f t="shared" ref="P187:Q187" si="215">+P126-P157</f>
        <v>3328200</v>
      </c>
      <c r="Q187" s="279">
        <f t="shared" si="215"/>
        <v>1394500</v>
      </c>
      <c r="R187" s="279">
        <f t="shared" ref="R187:T187" si="216">+R126-R157</f>
        <v>0</v>
      </c>
      <c r="S187" s="279">
        <f t="shared" si="216"/>
        <v>0</v>
      </c>
      <c r="T187" s="279">
        <f t="shared" si="216"/>
        <v>0</v>
      </c>
      <c r="U187" s="279">
        <f t="shared" si="210"/>
        <v>37494025</v>
      </c>
      <c r="V187" s="1508"/>
    </row>
    <row r="188" spans="1:22">
      <c r="A188" s="278" t="s">
        <v>32</v>
      </c>
      <c r="B188" s="279">
        <f t="shared" si="210"/>
        <v>0</v>
      </c>
      <c r="C188" s="279">
        <f t="shared" si="210"/>
        <v>0</v>
      </c>
      <c r="D188" s="279">
        <f t="shared" si="210"/>
        <v>0</v>
      </c>
      <c r="E188" s="279">
        <f t="shared" si="210"/>
        <v>0</v>
      </c>
      <c r="F188" s="279">
        <f t="shared" si="210"/>
        <v>-829536</v>
      </c>
      <c r="G188" s="280">
        <f t="shared" si="210"/>
        <v>-4078292</v>
      </c>
      <c r="H188" s="279">
        <f t="shared" si="210"/>
        <v>0</v>
      </c>
      <c r="I188" s="279">
        <f t="shared" si="210"/>
        <v>-42977</v>
      </c>
      <c r="J188" s="279">
        <f t="shared" ref="J188" si="217">+J127-J158</f>
        <v>-4907828</v>
      </c>
      <c r="K188" s="1046">
        <f t="shared" si="210"/>
        <v>0</v>
      </c>
      <c r="L188" s="281">
        <f t="shared" si="210"/>
        <v>-168030</v>
      </c>
      <c r="M188" s="282">
        <f t="shared" si="210"/>
        <v>198647</v>
      </c>
      <c r="N188" s="279">
        <f t="shared" si="210"/>
        <v>226700</v>
      </c>
      <c r="O188" s="279">
        <f t="shared" si="210"/>
        <v>98077</v>
      </c>
      <c r="P188" s="279">
        <f t="shared" ref="P188:Q188" si="218">+P127-P158</f>
        <v>18348</v>
      </c>
      <c r="Q188" s="279">
        <f t="shared" si="218"/>
        <v>0</v>
      </c>
      <c r="R188" s="279">
        <f t="shared" ref="R188:T188" si="219">+R127-R158</f>
        <v>0</v>
      </c>
      <c r="S188" s="279">
        <f t="shared" si="219"/>
        <v>0</v>
      </c>
      <c r="T188" s="279">
        <f t="shared" si="219"/>
        <v>0</v>
      </c>
      <c r="U188" s="279">
        <f t="shared" si="210"/>
        <v>-4534086</v>
      </c>
      <c r="V188" s="1508"/>
    </row>
    <row r="189" spans="1:22">
      <c r="A189" s="278" t="s">
        <v>29</v>
      </c>
      <c r="B189" s="279">
        <f t="shared" si="210"/>
        <v>-83204</v>
      </c>
      <c r="C189" s="279">
        <f t="shared" si="210"/>
        <v>0</v>
      </c>
      <c r="D189" s="279">
        <f t="shared" si="210"/>
        <v>-8450</v>
      </c>
      <c r="E189" s="279">
        <f t="shared" si="210"/>
        <v>-74754</v>
      </c>
      <c r="F189" s="279">
        <f t="shared" si="210"/>
        <v>-290875</v>
      </c>
      <c r="G189" s="280">
        <f t="shared" si="210"/>
        <v>-9517501</v>
      </c>
      <c r="H189" s="279">
        <f t="shared" si="210"/>
        <v>-2429032</v>
      </c>
      <c r="I189" s="279">
        <f t="shared" si="210"/>
        <v>0</v>
      </c>
      <c r="J189" s="279">
        <f t="shared" ref="J189" si="220">+J128-J159</f>
        <v>-7998</v>
      </c>
      <c r="K189" s="1046">
        <f t="shared" si="210"/>
        <v>0</v>
      </c>
      <c r="L189" s="281">
        <f t="shared" si="210"/>
        <v>0</v>
      </c>
      <c r="M189" s="282">
        <f t="shared" si="210"/>
        <v>0</v>
      </c>
      <c r="N189" s="279">
        <f t="shared" si="210"/>
        <v>0</v>
      </c>
      <c r="O189" s="279">
        <f t="shared" si="210"/>
        <v>0</v>
      </c>
      <c r="P189" s="279">
        <f t="shared" ref="P189:Q189" si="221">+P128-P159</f>
        <v>0</v>
      </c>
      <c r="Q189" s="279">
        <f t="shared" si="221"/>
        <v>0</v>
      </c>
      <c r="R189" s="279">
        <f t="shared" ref="R189:T189" si="222">+R128-R159</f>
        <v>0</v>
      </c>
      <c r="S189" s="279">
        <f t="shared" si="222"/>
        <v>0</v>
      </c>
      <c r="T189" s="279">
        <f t="shared" si="222"/>
        <v>0</v>
      </c>
      <c r="U189" s="279">
        <f t="shared" si="210"/>
        <v>-7998</v>
      </c>
      <c r="V189" s="1508"/>
    </row>
    <row r="190" spans="1:22">
      <c r="A190" s="278" t="s">
        <v>73</v>
      </c>
      <c r="B190" s="279">
        <f t="shared" ref="B190:U190" si="223">+B124-B155</f>
        <v>0</v>
      </c>
      <c r="C190" s="279">
        <f t="shared" si="223"/>
        <v>0</v>
      </c>
      <c r="D190" s="279">
        <f t="shared" si="223"/>
        <v>0</v>
      </c>
      <c r="E190" s="279">
        <f t="shared" si="223"/>
        <v>0</v>
      </c>
      <c r="F190" s="279">
        <f t="shared" si="223"/>
        <v>0</v>
      </c>
      <c r="G190" s="280">
        <f t="shared" si="223"/>
        <v>0</v>
      </c>
      <c r="H190" s="279">
        <f t="shared" si="223"/>
        <v>-47355</v>
      </c>
      <c r="I190" s="279">
        <f t="shared" si="223"/>
        <v>0</v>
      </c>
      <c r="J190" s="279">
        <f t="shared" ref="J190" si="224">+J124-J155</f>
        <v>-47355</v>
      </c>
      <c r="K190" s="1046">
        <f t="shared" si="223"/>
        <v>0</v>
      </c>
      <c r="L190" s="281">
        <f t="shared" si="223"/>
        <v>-1</v>
      </c>
      <c r="M190" s="282">
        <f t="shared" si="223"/>
        <v>0</v>
      </c>
      <c r="N190" s="279">
        <f t="shared" si="223"/>
        <v>0</v>
      </c>
      <c r="O190" s="279">
        <f t="shared" si="223"/>
        <v>0</v>
      </c>
      <c r="P190" s="279">
        <f t="shared" ref="P190:Q190" si="225">+P124-P155</f>
        <v>0</v>
      </c>
      <c r="Q190" s="279">
        <f t="shared" si="225"/>
        <v>0</v>
      </c>
      <c r="R190" s="279">
        <f t="shared" ref="R190:T190" si="226">+R124-R155</f>
        <v>0</v>
      </c>
      <c r="S190" s="279">
        <f t="shared" si="226"/>
        <v>0</v>
      </c>
      <c r="T190" s="279">
        <f t="shared" si="226"/>
        <v>0</v>
      </c>
      <c r="U190" s="279">
        <f t="shared" si="223"/>
        <v>-47356</v>
      </c>
      <c r="V190" s="1508"/>
    </row>
    <row r="191" spans="1:22" ht="13.5" customHeight="1">
      <c r="A191" s="278" t="s">
        <v>72</v>
      </c>
      <c r="B191" s="279">
        <f t="shared" ref="B191:U193" si="227">+B129-B160</f>
        <v>0</v>
      </c>
      <c r="C191" s="279">
        <f t="shared" si="227"/>
        <v>0</v>
      </c>
      <c r="D191" s="279">
        <f t="shared" si="227"/>
        <v>0</v>
      </c>
      <c r="E191" s="279">
        <f t="shared" si="227"/>
        <v>0</v>
      </c>
      <c r="F191" s="279">
        <f t="shared" si="227"/>
        <v>0</v>
      </c>
      <c r="G191" s="280">
        <f t="shared" si="227"/>
        <v>0</v>
      </c>
      <c r="H191" s="279">
        <f t="shared" si="227"/>
        <v>0</v>
      </c>
      <c r="I191" s="279">
        <f t="shared" si="227"/>
        <v>0</v>
      </c>
      <c r="J191" s="279">
        <f t="shared" ref="J191" si="228">+J129-J160</f>
        <v>0</v>
      </c>
      <c r="K191" s="1046">
        <f t="shared" si="227"/>
        <v>0</v>
      </c>
      <c r="L191" s="281">
        <f t="shared" si="227"/>
        <v>-2</v>
      </c>
      <c r="M191" s="282">
        <f t="shared" si="227"/>
        <v>0</v>
      </c>
      <c r="N191" s="279">
        <f t="shared" si="227"/>
        <v>0</v>
      </c>
      <c r="O191" s="279">
        <f t="shared" si="227"/>
        <v>0</v>
      </c>
      <c r="P191" s="279">
        <f t="shared" ref="P191:Q191" si="229">+P129-P160</f>
        <v>0</v>
      </c>
      <c r="Q191" s="279">
        <f t="shared" si="229"/>
        <v>0</v>
      </c>
      <c r="R191" s="279">
        <f t="shared" ref="R191:T191" si="230">+R129-R160</f>
        <v>0</v>
      </c>
      <c r="S191" s="279">
        <f t="shared" si="230"/>
        <v>0</v>
      </c>
      <c r="T191" s="279">
        <f t="shared" si="230"/>
        <v>0</v>
      </c>
      <c r="U191" s="279">
        <f t="shared" si="227"/>
        <v>-2</v>
      </c>
      <c r="V191" s="1508"/>
    </row>
    <row r="192" spans="1:22" ht="17.25" customHeight="1">
      <c r="A192" s="283" t="s">
        <v>31</v>
      </c>
      <c r="B192" s="279">
        <f t="shared" si="227"/>
        <v>0</v>
      </c>
      <c r="C192" s="279">
        <f t="shared" si="227"/>
        <v>0</v>
      </c>
      <c r="D192" s="279">
        <f t="shared" si="227"/>
        <v>0</v>
      </c>
      <c r="E192" s="279">
        <f t="shared" si="227"/>
        <v>0</v>
      </c>
      <c r="F192" s="279">
        <f t="shared" si="227"/>
        <v>0</v>
      </c>
      <c r="G192" s="280">
        <f t="shared" si="227"/>
        <v>0</v>
      </c>
      <c r="H192" s="279">
        <f t="shared" si="227"/>
        <v>0</v>
      </c>
      <c r="I192" s="279">
        <f t="shared" si="227"/>
        <v>-1023120</v>
      </c>
      <c r="J192" s="279">
        <f t="shared" ref="J192" si="231">+J130-J161</f>
        <v>0</v>
      </c>
      <c r="K192" s="1046">
        <f t="shared" si="227"/>
        <v>0</v>
      </c>
      <c r="L192" s="281">
        <f t="shared" si="227"/>
        <v>0</v>
      </c>
      <c r="M192" s="282">
        <f t="shared" si="227"/>
        <v>0</v>
      </c>
      <c r="N192" s="279">
        <f t="shared" si="227"/>
        <v>0</v>
      </c>
      <c r="O192" s="279">
        <f t="shared" si="227"/>
        <v>0</v>
      </c>
      <c r="P192" s="279">
        <f t="shared" ref="P192:Q192" si="232">+P130-P161</f>
        <v>0</v>
      </c>
      <c r="Q192" s="279">
        <f t="shared" si="232"/>
        <v>0</v>
      </c>
      <c r="R192" s="279">
        <f t="shared" ref="R192:T192" si="233">+R130-R161</f>
        <v>0</v>
      </c>
      <c r="S192" s="279">
        <f t="shared" si="233"/>
        <v>0</v>
      </c>
      <c r="T192" s="279">
        <f t="shared" si="233"/>
        <v>0</v>
      </c>
      <c r="U192" s="279">
        <f t="shared" si="227"/>
        <v>0</v>
      </c>
      <c r="V192" s="1508"/>
    </row>
    <row r="193" spans="1:27" ht="13.5" thickBot="1">
      <c r="A193" s="284" t="s">
        <v>33</v>
      </c>
      <c r="B193" s="285" t="e">
        <f t="shared" si="227"/>
        <v>#REF!</v>
      </c>
      <c r="C193" s="285" t="e">
        <f t="shared" si="227"/>
        <v>#REF!</v>
      </c>
      <c r="D193" s="285" t="e">
        <f t="shared" si="227"/>
        <v>#REF!</v>
      </c>
      <c r="E193" s="285" t="e">
        <f t="shared" si="227"/>
        <v>#REF!</v>
      </c>
      <c r="F193" s="285" t="e">
        <f t="shared" si="227"/>
        <v>#REF!</v>
      </c>
      <c r="G193" s="286" t="e">
        <f t="shared" si="227"/>
        <v>#REF!</v>
      </c>
      <c r="H193" s="285" t="e">
        <f t="shared" si="227"/>
        <v>#REF!</v>
      </c>
      <c r="I193" s="285" t="e">
        <f t="shared" si="227"/>
        <v>#REF!</v>
      </c>
      <c r="J193" s="285">
        <f t="shared" ref="J193" si="234">+J131-J162</f>
        <v>-7627108</v>
      </c>
      <c r="K193" s="1047">
        <f t="shared" si="227"/>
        <v>113847</v>
      </c>
      <c r="L193" s="287">
        <f t="shared" si="227"/>
        <v>-4834255</v>
      </c>
      <c r="M193" s="288">
        <f t="shared" si="227"/>
        <v>-10731864</v>
      </c>
      <c r="N193" s="285">
        <f t="shared" si="227"/>
        <v>146253993</v>
      </c>
      <c r="O193" s="285">
        <f t="shared" si="227"/>
        <v>115780933</v>
      </c>
      <c r="P193" s="285">
        <f t="shared" ref="P193:Q193" si="235">+P131-P162</f>
        <v>29475800</v>
      </c>
      <c r="Q193" s="285">
        <f t="shared" si="235"/>
        <v>12736000</v>
      </c>
      <c r="R193" s="285">
        <f t="shared" ref="R193:T193" si="236">+R131-R162</f>
        <v>0</v>
      </c>
      <c r="S193" s="285">
        <f t="shared" si="236"/>
        <v>0</v>
      </c>
      <c r="T193" s="285">
        <f t="shared" si="236"/>
        <v>0</v>
      </c>
      <c r="U193" s="279">
        <f>+U131-U162</f>
        <v>281053499</v>
      </c>
      <c r="V193" s="1508">
        <f>+U193-U208</f>
        <v>14830</v>
      </c>
      <c r="AA193" s="14">
        <f>+U193-U208</f>
        <v>14830</v>
      </c>
    </row>
    <row r="194" spans="1:27" ht="15" customHeight="1" thickBot="1">
      <c r="A194" s="289"/>
      <c r="B194" s="290" t="e">
        <f t="shared" ref="B194:U194" si="237">SUM(B183:B193)</f>
        <v>#REF!</v>
      </c>
      <c r="C194" s="291" t="e">
        <f t="shared" si="237"/>
        <v>#REF!</v>
      </c>
      <c r="D194" s="291" t="e">
        <f t="shared" si="237"/>
        <v>#REF!</v>
      </c>
      <c r="E194" s="291" t="e">
        <f t="shared" si="237"/>
        <v>#REF!</v>
      </c>
      <c r="F194" s="290" t="e">
        <f t="shared" si="237"/>
        <v>#REF!</v>
      </c>
      <c r="G194" s="290" t="e">
        <f t="shared" si="237"/>
        <v>#REF!</v>
      </c>
      <c r="H194" s="292" t="e">
        <f t="shared" si="237"/>
        <v>#REF!</v>
      </c>
      <c r="I194" s="292" t="e">
        <f t="shared" si="237"/>
        <v>#REF!</v>
      </c>
      <c r="J194" s="292">
        <f t="shared" ref="J194" si="238">SUM(J183:J193)</f>
        <v>-16876274</v>
      </c>
      <c r="K194" s="1048">
        <f t="shared" si="237"/>
        <v>-249758</v>
      </c>
      <c r="L194" s="293">
        <f t="shared" si="237"/>
        <v>-9983271</v>
      </c>
      <c r="M194" s="294">
        <f t="shared" si="237"/>
        <v>-3675339</v>
      </c>
      <c r="N194" s="292">
        <f t="shared" si="237"/>
        <v>173497672</v>
      </c>
      <c r="O194" s="292">
        <f t="shared" si="237"/>
        <v>142974092</v>
      </c>
      <c r="P194" s="292">
        <f t="shared" ref="P194:T194" si="239">SUM(P183:P193)</f>
        <v>34665752</v>
      </c>
      <c r="Q194" s="292">
        <f t="shared" si="239"/>
        <v>14955700</v>
      </c>
      <c r="R194" s="292">
        <f t="shared" si="239"/>
        <v>0</v>
      </c>
      <c r="S194" s="292">
        <f t="shared" si="239"/>
        <v>0</v>
      </c>
      <c r="T194" s="292">
        <f t="shared" si="239"/>
        <v>0</v>
      </c>
      <c r="U194" s="292">
        <f t="shared" si="237"/>
        <v>335558332</v>
      </c>
      <c r="V194" s="1509"/>
    </row>
    <row r="195" spans="1:27" ht="14.25" customHeight="1" thickBot="1">
      <c r="A195" s="295" t="s">
        <v>56</v>
      </c>
      <c r="B195" s="296" t="e">
        <f t="shared" ref="B195:U195" si="240">+B120-B151</f>
        <v>#REF!</v>
      </c>
      <c r="C195" s="297" t="e">
        <f t="shared" si="240"/>
        <v>#REF!</v>
      </c>
      <c r="D195" s="297" t="e">
        <f t="shared" si="240"/>
        <v>#REF!</v>
      </c>
      <c r="E195" s="297" t="e">
        <f t="shared" si="240"/>
        <v>#REF!</v>
      </c>
      <c r="F195" s="296" t="e">
        <f t="shared" si="240"/>
        <v>#REF!</v>
      </c>
      <c r="G195" s="296" t="e">
        <f t="shared" si="240"/>
        <v>#REF!</v>
      </c>
      <c r="H195" s="298" t="e">
        <f t="shared" si="240"/>
        <v>#REF!</v>
      </c>
      <c r="I195" s="298" t="e">
        <f t="shared" si="240"/>
        <v>#REF!</v>
      </c>
      <c r="J195" s="298">
        <f t="shared" ref="J195" si="241">+J120-J151</f>
        <v>-16876274</v>
      </c>
      <c r="K195" s="1049">
        <f t="shared" si="240"/>
        <v>-249758</v>
      </c>
      <c r="L195" s="299">
        <f t="shared" si="240"/>
        <v>-9983271</v>
      </c>
      <c r="M195" s="296">
        <f>+M120-M151</f>
        <v>-3675339</v>
      </c>
      <c r="N195" s="296">
        <f t="shared" si="240"/>
        <v>173497672</v>
      </c>
      <c r="O195" s="296">
        <f t="shared" si="240"/>
        <v>142974092</v>
      </c>
      <c r="P195" s="296">
        <f t="shared" ref="P195:T195" si="242">+P120-P151</f>
        <v>34665752</v>
      </c>
      <c r="Q195" s="296">
        <f t="shared" si="242"/>
        <v>14955700</v>
      </c>
      <c r="R195" s="296">
        <f t="shared" si="242"/>
        <v>0</v>
      </c>
      <c r="S195" s="296">
        <f t="shared" si="242"/>
        <v>0</v>
      </c>
      <c r="T195" s="296">
        <f t="shared" si="242"/>
        <v>0</v>
      </c>
      <c r="U195" s="296">
        <f t="shared" si="240"/>
        <v>335558331.99999952</v>
      </c>
      <c r="V195" s="296"/>
    </row>
    <row r="196" spans="1:27" ht="16.5" customHeight="1" thickBot="1">
      <c r="A196" s="300" t="s">
        <v>76</v>
      </c>
      <c r="B196" s="301" t="e">
        <f t="shared" ref="B196:U208" si="243">+B134-B166</f>
        <v>#REF!</v>
      </c>
      <c r="C196" s="301" t="e">
        <f t="shared" si="243"/>
        <v>#REF!</v>
      </c>
      <c r="D196" s="301" t="e">
        <f t="shared" si="243"/>
        <v>#REF!</v>
      </c>
      <c r="E196" s="301" t="e">
        <f t="shared" si="243"/>
        <v>#REF!</v>
      </c>
      <c r="F196" s="301" t="e">
        <f t="shared" si="243"/>
        <v>#REF!</v>
      </c>
      <c r="G196" s="302" t="e">
        <f t="shared" si="243"/>
        <v>#REF!</v>
      </c>
      <c r="H196" s="301" t="e">
        <f t="shared" si="243"/>
        <v>#REF!</v>
      </c>
      <c r="I196" s="301" t="e">
        <f t="shared" si="243"/>
        <v>#REF!</v>
      </c>
      <c r="J196" s="301">
        <f t="shared" si="243"/>
        <v>-12282114</v>
      </c>
      <c r="K196" s="1050">
        <f t="shared" si="243"/>
        <v>2146458</v>
      </c>
      <c r="L196" s="303">
        <f t="shared" si="243"/>
        <v>-1871607</v>
      </c>
      <c r="M196" s="304">
        <f t="shared" si="243"/>
        <v>9254016</v>
      </c>
      <c r="N196" s="301">
        <f t="shared" si="243"/>
        <v>146926480</v>
      </c>
      <c r="O196" s="301">
        <f t="shared" si="243"/>
        <v>126088420</v>
      </c>
      <c r="P196" s="301">
        <f t="shared" ref="P196:T196" si="244">+P134-P166</f>
        <v>33387872</v>
      </c>
      <c r="Q196" s="301">
        <f t="shared" si="244"/>
        <v>13744411</v>
      </c>
      <c r="R196" s="301">
        <f t="shared" si="244"/>
        <v>0</v>
      </c>
      <c r="S196" s="301">
        <f t="shared" si="244"/>
        <v>0</v>
      </c>
      <c r="T196" s="301">
        <f t="shared" si="244"/>
        <v>0</v>
      </c>
      <c r="U196" s="301">
        <f>SUM(U197:U208)</f>
        <v>315247478</v>
      </c>
      <c r="V196" s="1510"/>
    </row>
    <row r="197" spans="1:27">
      <c r="A197" s="273" t="s">
        <v>70</v>
      </c>
      <c r="B197" s="274">
        <f t="shared" si="243"/>
        <v>0</v>
      </c>
      <c r="C197" s="274">
        <f t="shared" si="243"/>
        <v>0</v>
      </c>
      <c r="D197" s="274">
        <f t="shared" si="243"/>
        <v>0</v>
      </c>
      <c r="E197" s="274">
        <f t="shared" si="243"/>
        <v>0</v>
      </c>
      <c r="F197" s="274">
        <f t="shared" si="243"/>
        <v>0</v>
      </c>
      <c r="G197" s="275">
        <f t="shared" si="243"/>
        <v>0</v>
      </c>
      <c r="H197" s="274">
        <f t="shared" si="243"/>
        <v>0</v>
      </c>
      <c r="I197" s="274">
        <f t="shared" si="243"/>
        <v>0</v>
      </c>
      <c r="J197" s="274">
        <f t="shared" ref="J197" si="245">+J135-J167</f>
        <v>0</v>
      </c>
      <c r="K197" s="1045">
        <f t="shared" si="243"/>
        <v>0</v>
      </c>
      <c r="L197" s="276">
        <f t="shared" si="243"/>
        <v>6890</v>
      </c>
      <c r="M197" s="277">
        <f t="shared" si="243"/>
        <v>0</v>
      </c>
      <c r="N197" s="274">
        <f t="shared" si="243"/>
        <v>0</v>
      </c>
      <c r="O197" s="274">
        <f t="shared" si="243"/>
        <v>0</v>
      </c>
      <c r="P197" s="274">
        <f t="shared" ref="P197:Q197" si="246">+P135-P167</f>
        <v>0</v>
      </c>
      <c r="Q197" s="274">
        <f t="shared" si="246"/>
        <v>0</v>
      </c>
      <c r="R197" s="274">
        <f t="shared" ref="R197:T197" si="247">+R135-R167</f>
        <v>0</v>
      </c>
      <c r="S197" s="274">
        <f t="shared" si="247"/>
        <v>0</v>
      </c>
      <c r="T197" s="274">
        <f t="shared" si="247"/>
        <v>0</v>
      </c>
      <c r="U197" s="305">
        <f>+U135-U167</f>
        <v>6890</v>
      </c>
      <c r="V197" s="1511"/>
    </row>
    <row r="198" spans="1:27">
      <c r="A198" s="278" t="s">
        <v>25</v>
      </c>
      <c r="B198" s="279">
        <f t="shared" si="243"/>
        <v>-469627</v>
      </c>
      <c r="C198" s="279" t="e">
        <f t="shared" si="243"/>
        <v>#REF!</v>
      </c>
      <c r="D198" s="279" t="e">
        <f t="shared" si="243"/>
        <v>#REF!</v>
      </c>
      <c r="E198" s="279" t="e">
        <f t="shared" si="243"/>
        <v>#REF!</v>
      </c>
      <c r="F198" s="279">
        <f t="shared" si="243"/>
        <v>-546477</v>
      </c>
      <c r="G198" s="280">
        <f t="shared" si="243"/>
        <v>-390683</v>
      </c>
      <c r="H198" s="279">
        <f t="shared" si="243"/>
        <v>-462835</v>
      </c>
      <c r="I198" s="279">
        <f t="shared" si="243"/>
        <v>-479233</v>
      </c>
      <c r="J198" s="279">
        <f t="shared" ref="J198" si="248">+J136-J168</f>
        <v>-575625</v>
      </c>
      <c r="K198" s="1046">
        <f t="shared" si="243"/>
        <v>0</v>
      </c>
      <c r="L198" s="281">
        <f t="shared" si="243"/>
        <v>-250426</v>
      </c>
      <c r="M198" s="282">
        <f t="shared" si="243"/>
        <v>160072</v>
      </c>
      <c r="N198" s="279">
        <f t="shared" si="243"/>
        <v>617655</v>
      </c>
      <c r="O198" s="279">
        <f t="shared" si="243"/>
        <v>163259</v>
      </c>
      <c r="P198" s="279">
        <f t="shared" ref="P198:Q198" si="249">+P136-P168</f>
        <v>0</v>
      </c>
      <c r="Q198" s="279">
        <f t="shared" si="249"/>
        <v>0</v>
      </c>
      <c r="R198" s="279">
        <f t="shared" ref="R198:T198" si="250">+R136-R168</f>
        <v>0</v>
      </c>
      <c r="S198" s="279">
        <f t="shared" si="250"/>
        <v>0</v>
      </c>
      <c r="T198" s="279">
        <f t="shared" si="250"/>
        <v>0</v>
      </c>
      <c r="U198" s="306">
        <f t="shared" si="243"/>
        <v>114935</v>
      </c>
      <c r="V198" s="1511"/>
    </row>
    <row r="199" spans="1:27">
      <c r="A199" s="278" t="s">
        <v>27</v>
      </c>
      <c r="B199" s="279">
        <f t="shared" si="243"/>
        <v>0</v>
      </c>
      <c r="C199" s="279">
        <f t="shared" si="243"/>
        <v>0</v>
      </c>
      <c r="D199" s="279">
        <f t="shared" si="243"/>
        <v>0</v>
      </c>
      <c r="E199" s="279">
        <f t="shared" si="243"/>
        <v>0</v>
      </c>
      <c r="F199" s="279">
        <f t="shared" si="243"/>
        <v>-4967381</v>
      </c>
      <c r="G199" s="280">
        <f t="shared" si="243"/>
        <v>0</v>
      </c>
      <c r="H199" s="279">
        <f t="shared" si="243"/>
        <v>0</v>
      </c>
      <c r="I199" s="279">
        <f t="shared" si="243"/>
        <v>570000</v>
      </c>
      <c r="J199" s="279">
        <f t="shared" ref="J199" si="251">+J137-J169</f>
        <v>0</v>
      </c>
      <c r="K199" s="1046">
        <f t="shared" si="243"/>
        <v>0</v>
      </c>
      <c r="L199" s="281">
        <f t="shared" si="243"/>
        <v>-25905</v>
      </c>
      <c r="M199" s="282">
        <f t="shared" si="243"/>
        <v>1398414</v>
      </c>
      <c r="N199" s="279">
        <f t="shared" si="243"/>
        <v>0</v>
      </c>
      <c r="O199" s="279">
        <f t="shared" si="243"/>
        <v>0</v>
      </c>
      <c r="P199" s="279">
        <f t="shared" ref="P199:Q199" si="252">+P137-P169</f>
        <v>0</v>
      </c>
      <c r="Q199" s="279">
        <f t="shared" si="252"/>
        <v>0</v>
      </c>
      <c r="R199" s="279">
        <f t="shared" ref="R199:T199" si="253">+R137-R169</f>
        <v>0</v>
      </c>
      <c r="S199" s="279">
        <f t="shared" si="253"/>
        <v>0</v>
      </c>
      <c r="T199" s="279">
        <f t="shared" si="253"/>
        <v>0</v>
      </c>
      <c r="U199" s="306">
        <f t="shared" si="243"/>
        <v>1372509</v>
      </c>
      <c r="V199" s="1511"/>
    </row>
    <row r="200" spans="1:27">
      <c r="A200" s="278" t="s">
        <v>78</v>
      </c>
      <c r="B200" s="279">
        <f t="shared" si="243"/>
        <v>0</v>
      </c>
      <c r="C200" s="279">
        <f t="shared" si="243"/>
        <v>0</v>
      </c>
      <c r="D200" s="279">
        <f t="shared" si="243"/>
        <v>0</v>
      </c>
      <c r="E200" s="279">
        <f t="shared" si="243"/>
        <v>0</v>
      </c>
      <c r="F200" s="279">
        <f t="shared" si="243"/>
        <v>-8238536</v>
      </c>
      <c r="G200" s="280">
        <f t="shared" si="243"/>
        <v>-585000</v>
      </c>
      <c r="H200" s="279">
        <f t="shared" si="243"/>
        <v>-47355</v>
      </c>
      <c r="I200" s="279">
        <f t="shared" si="243"/>
        <v>-1026450</v>
      </c>
      <c r="J200" s="279">
        <f t="shared" ref="J200" si="254">+J138-J170</f>
        <v>7778056</v>
      </c>
      <c r="K200" s="1046">
        <f t="shared" si="243"/>
        <v>7825411</v>
      </c>
      <c r="L200" s="281">
        <f t="shared" si="243"/>
        <v>-1170730</v>
      </c>
      <c r="M200" s="282">
        <f t="shared" si="243"/>
        <v>9048129</v>
      </c>
      <c r="N200" s="279">
        <f t="shared" si="243"/>
        <v>8419285</v>
      </c>
      <c r="O200" s="279">
        <f t="shared" si="243"/>
        <v>8696585</v>
      </c>
      <c r="P200" s="279">
        <f t="shared" ref="P200:Q200" si="255">+P138-P170</f>
        <v>3328200</v>
      </c>
      <c r="Q200" s="279">
        <f t="shared" si="255"/>
        <v>1394500</v>
      </c>
      <c r="R200" s="279">
        <f t="shared" ref="R200:T200" si="256">+R138-R170</f>
        <v>0</v>
      </c>
      <c r="S200" s="279">
        <f t="shared" si="256"/>
        <v>0</v>
      </c>
      <c r="T200" s="279">
        <f t="shared" si="256"/>
        <v>0</v>
      </c>
      <c r="U200" s="306">
        <f t="shared" si="243"/>
        <v>37494025</v>
      </c>
      <c r="V200" s="1511"/>
    </row>
    <row r="201" spans="1:27">
      <c r="A201" s="273" t="s">
        <v>24</v>
      </c>
      <c r="B201" s="279">
        <f t="shared" si="243"/>
        <v>0</v>
      </c>
      <c r="C201" s="279">
        <f t="shared" si="243"/>
        <v>0</v>
      </c>
      <c r="D201" s="279">
        <f t="shared" si="243"/>
        <v>0</v>
      </c>
      <c r="E201" s="279">
        <f t="shared" si="243"/>
        <v>0</v>
      </c>
      <c r="F201" s="279">
        <f t="shared" si="243"/>
        <v>0</v>
      </c>
      <c r="G201" s="280">
        <f t="shared" si="243"/>
        <v>0</v>
      </c>
      <c r="H201" s="279">
        <f t="shared" si="243"/>
        <v>0</v>
      </c>
      <c r="I201" s="279">
        <f t="shared" si="243"/>
        <v>0</v>
      </c>
      <c r="J201" s="279">
        <f t="shared" ref="J201" si="257">+J139-J171</f>
        <v>0</v>
      </c>
      <c r="K201" s="1046">
        <f t="shared" si="243"/>
        <v>0</v>
      </c>
      <c r="L201" s="281">
        <f t="shared" si="243"/>
        <v>93727</v>
      </c>
      <c r="M201" s="282">
        <f t="shared" si="243"/>
        <v>-304544</v>
      </c>
      <c r="N201" s="279">
        <f t="shared" si="243"/>
        <v>0</v>
      </c>
      <c r="O201" s="279">
        <f t="shared" si="243"/>
        <v>0</v>
      </c>
      <c r="P201" s="279">
        <f t="shared" ref="P201:Q201" si="258">+P139-P171</f>
        <v>0</v>
      </c>
      <c r="Q201" s="279">
        <f t="shared" si="258"/>
        <v>0</v>
      </c>
      <c r="R201" s="279">
        <f t="shared" ref="R201:T201" si="259">+R139-R171</f>
        <v>0</v>
      </c>
      <c r="S201" s="279">
        <f t="shared" si="259"/>
        <v>0</v>
      </c>
      <c r="T201" s="279">
        <f t="shared" si="259"/>
        <v>0</v>
      </c>
      <c r="U201" s="306">
        <f t="shared" si="243"/>
        <v>-210817</v>
      </c>
      <c r="V201" s="1511"/>
    </row>
    <row r="202" spans="1:27">
      <c r="A202" s="278" t="s">
        <v>73</v>
      </c>
      <c r="B202" s="279">
        <f t="shared" si="243"/>
        <v>0</v>
      </c>
      <c r="C202" s="279">
        <f t="shared" si="243"/>
        <v>0</v>
      </c>
      <c r="D202" s="279">
        <f t="shared" si="243"/>
        <v>0</v>
      </c>
      <c r="E202" s="279">
        <f t="shared" si="243"/>
        <v>0</v>
      </c>
      <c r="F202" s="279">
        <f t="shared" si="243"/>
        <v>0</v>
      </c>
      <c r="G202" s="280">
        <f t="shared" si="243"/>
        <v>0</v>
      </c>
      <c r="H202" s="279">
        <f t="shared" si="243"/>
        <v>-47355</v>
      </c>
      <c r="I202" s="279">
        <f t="shared" si="243"/>
        <v>0</v>
      </c>
      <c r="J202" s="279">
        <f t="shared" ref="J202" si="260">+J140-J172</f>
        <v>-47355</v>
      </c>
      <c r="K202" s="1046">
        <f>+K140-K172</f>
        <v>0</v>
      </c>
      <c r="L202" s="281">
        <f t="shared" si="243"/>
        <v>-1</v>
      </c>
      <c r="M202" s="282">
        <f t="shared" si="243"/>
        <v>0</v>
      </c>
      <c r="N202" s="279">
        <f t="shared" si="243"/>
        <v>0</v>
      </c>
      <c r="O202" s="279">
        <f t="shared" si="243"/>
        <v>0</v>
      </c>
      <c r="P202" s="279">
        <f t="shared" ref="P202:Q202" si="261">+P140-P172</f>
        <v>0</v>
      </c>
      <c r="Q202" s="279">
        <f t="shared" si="261"/>
        <v>0</v>
      </c>
      <c r="R202" s="279">
        <f t="shared" ref="R202:T202" si="262">+R140-R172</f>
        <v>0</v>
      </c>
      <c r="S202" s="279">
        <f t="shared" si="262"/>
        <v>0</v>
      </c>
      <c r="T202" s="279">
        <f t="shared" si="262"/>
        <v>0</v>
      </c>
      <c r="U202" s="306">
        <f t="shared" si="243"/>
        <v>-47356</v>
      </c>
      <c r="V202" s="1508"/>
    </row>
    <row r="203" spans="1:27">
      <c r="A203" s="278" t="s">
        <v>74</v>
      </c>
      <c r="B203" s="279">
        <f t="shared" si="243"/>
        <v>0</v>
      </c>
      <c r="C203" s="279">
        <f t="shared" si="243"/>
        <v>0</v>
      </c>
      <c r="D203" s="279">
        <f t="shared" si="243"/>
        <v>0</v>
      </c>
      <c r="E203" s="279">
        <f t="shared" si="243"/>
        <v>0</v>
      </c>
      <c r="F203" s="279">
        <f t="shared" si="243"/>
        <v>0</v>
      </c>
      <c r="G203" s="280">
        <f t="shared" si="243"/>
        <v>0</v>
      </c>
      <c r="H203" s="279">
        <f t="shared" si="243"/>
        <v>0</v>
      </c>
      <c r="I203" s="279">
        <f t="shared" si="243"/>
        <v>0</v>
      </c>
      <c r="J203" s="279">
        <f t="shared" ref="J203" si="263">+J141-J173</f>
        <v>0</v>
      </c>
      <c r="K203" s="1046">
        <f>+K141-K173</f>
        <v>0</v>
      </c>
      <c r="L203" s="281">
        <f t="shared" si="243"/>
        <v>-2</v>
      </c>
      <c r="M203" s="282">
        <f t="shared" si="243"/>
        <v>0</v>
      </c>
      <c r="N203" s="279">
        <f t="shared" si="243"/>
        <v>0</v>
      </c>
      <c r="O203" s="279">
        <f t="shared" si="243"/>
        <v>0</v>
      </c>
      <c r="P203" s="279">
        <f t="shared" ref="P203:Q203" si="264">+P141-P173</f>
        <v>0</v>
      </c>
      <c r="Q203" s="279">
        <f t="shared" si="264"/>
        <v>0</v>
      </c>
      <c r="R203" s="279">
        <f t="shared" ref="R203:T203" si="265">+R141-R173</f>
        <v>0</v>
      </c>
      <c r="S203" s="279">
        <f t="shared" si="265"/>
        <v>0</v>
      </c>
      <c r="T203" s="279">
        <f t="shared" si="265"/>
        <v>0</v>
      </c>
      <c r="U203" s="306">
        <f t="shared" si="243"/>
        <v>-2</v>
      </c>
      <c r="V203" s="1511"/>
    </row>
    <row r="204" spans="1:27">
      <c r="A204" s="278" t="s">
        <v>29</v>
      </c>
      <c r="B204" s="279">
        <f t="shared" si="243"/>
        <v>0</v>
      </c>
      <c r="C204" s="279">
        <f t="shared" si="243"/>
        <v>0</v>
      </c>
      <c r="D204" s="279">
        <f t="shared" si="243"/>
        <v>0</v>
      </c>
      <c r="E204" s="279">
        <f t="shared" si="243"/>
        <v>0</v>
      </c>
      <c r="F204" s="279">
        <f t="shared" si="243"/>
        <v>0</v>
      </c>
      <c r="G204" s="280">
        <f t="shared" si="243"/>
        <v>-4709509</v>
      </c>
      <c r="H204" s="279">
        <f t="shared" si="243"/>
        <v>-6996568</v>
      </c>
      <c r="I204" s="279">
        <f t="shared" si="243"/>
        <v>-614535</v>
      </c>
      <c r="J204" s="279">
        <f t="shared" ref="J204" si="266">+J142-J174</f>
        <v>-7998</v>
      </c>
      <c r="K204" s="1046">
        <f t="shared" si="243"/>
        <v>0</v>
      </c>
      <c r="L204" s="281">
        <f t="shared" si="243"/>
        <v>-911</v>
      </c>
      <c r="M204" s="282">
        <f t="shared" si="243"/>
        <v>911</v>
      </c>
      <c r="N204" s="279">
        <f t="shared" si="243"/>
        <v>0</v>
      </c>
      <c r="O204" s="279">
        <f t="shared" si="243"/>
        <v>0</v>
      </c>
      <c r="P204" s="279">
        <f t="shared" ref="P204:Q204" si="267">+P142-P174</f>
        <v>0</v>
      </c>
      <c r="Q204" s="279">
        <f t="shared" si="267"/>
        <v>0</v>
      </c>
      <c r="R204" s="279">
        <f t="shared" ref="R204:T204" si="268">+R142-R174</f>
        <v>0</v>
      </c>
      <c r="S204" s="279">
        <f t="shared" si="268"/>
        <v>0</v>
      </c>
      <c r="T204" s="279">
        <f t="shared" si="268"/>
        <v>0</v>
      </c>
      <c r="U204" s="306">
        <f t="shared" si="243"/>
        <v>-7998</v>
      </c>
      <c r="V204" s="1511"/>
    </row>
    <row r="205" spans="1:27" ht="24">
      <c r="A205" s="278" t="s">
        <v>38</v>
      </c>
      <c r="B205" s="1270">
        <f t="shared" si="243"/>
        <v>0</v>
      </c>
      <c r="C205" s="1270">
        <f t="shared" si="243"/>
        <v>0</v>
      </c>
      <c r="D205" s="1270">
        <f t="shared" si="243"/>
        <v>0</v>
      </c>
      <c r="E205" s="1270">
        <f t="shared" si="243"/>
        <v>0</v>
      </c>
      <c r="F205" s="1270">
        <f t="shared" si="243"/>
        <v>0</v>
      </c>
      <c r="G205" s="1271">
        <f t="shared" si="243"/>
        <v>0</v>
      </c>
      <c r="H205" s="1270">
        <f t="shared" si="243"/>
        <v>0</v>
      </c>
      <c r="I205" s="1270">
        <f t="shared" si="243"/>
        <v>0</v>
      </c>
      <c r="J205" s="1270">
        <f t="shared" ref="J205" si="269">+J143-J175</f>
        <v>0</v>
      </c>
      <c r="K205" s="1272">
        <f t="shared" si="243"/>
        <v>0</v>
      </c>
      <c r="L205" s="1273">
        <f t="shared" si="243"/>
        <v>0</v>
      </c>
      <c r="M205" s="1274">
        <f t="shared" si="243"/>
        <v>0</v>
      </c>
      <c r="N205" s="1270">
        <f t="shared" si="243"/>
        <v>0</v>
      </c>
      <c r="O205" s="1270">
        <f t="shared" si="243"/>
        <v>0</v>
      </c>
      <c r="P205" s="1270">
        <f t="shared" ref="P205:Q205" si="270">+P143-P175</f>
        <v>0</v>
      </c>
      <c r="Q205" s="1270">
        <f t="shared" si="270"/>
        <v>0</v>
      </c>
      <c r="R205" s="1270">
        <f t="shared" ref="R205:T205" si="271">+R143-R175</f>
        <v>0</v>
      </c>
      <c r="S205" s="1270">
        <f t="shared" si="271"/>
        <v>0</v>
      </c>
      <c r="T205" s="1270">
        <f t="shared" si="271"/>
        <v>0</v>
      </c>
      <c r="U205" s="306">
        <f>+U143-U175</f>
        <v>0</v>
      </c>
      <c r="V205" s="1512"/>
    </row>
    <row r="206" spans="1:27" ht="13.5" customHeight="1">
      <c r="A206" s="278" t="s">
        <v>32</v>
      </c>
      <c r="B206" s="279">
        <f t="shared" si="243"/>
        <v>0</v>
      </c>
      <c r="C206" s="279" t="e">
        <f t="shared" si="243"/>
        <v>#REF!</v>
      </c>
      <c r="D206" s="279" t="e">
        <f t="shared" si="243"/>
        <v>#REF!</v>
      </c>
      <c r="E206" s="279" t="e">
        <f t="shared" si="243"/>
        <v>#REF!</v>
      </c>
      <c r="F206" s="279">
        <f t="shared" si="243"/>
        <v>0</v>
      </c>
      <c r="G206" s="280">
        <f t="shared" si="243"/>
        <v>-842747</v>
      </c>
      <c r="H206" s="279">
        <f t="shared" si="243"/>
        <v>0</v>
      </c>
      <c r="I206" s="279">
        <f t="shared" si="243"/>
        <v>-4115966</v>
      </c>
      <c r="J206" s="279">
        <f t="shared" ref="J206" si="272">+J144-J176</f>
        <v>-4918473</v>
      </c>
      <c r="K206" s="1046">
        <f t="shared" si="243"/>
        <v>-10645</v>
      </c>
      <c r="L206" s="281">
        <f t="shared" si="243"/>
        <v>21616</v>
      </c>
      <c r="M206" s="282">
        <f t="shared" si="243"/>
        <v>0</v>
      </c>
      <c r="N206" s="279">
        <f t="shared" si="243"/>
        <v>20632</v>
      </c>
      <c r="O206" s="279">
        <f t="shared" si="243"/>
        <v>133073</v>
      </c>
      <c r="P206" s="279">
        <f t="shared" ref="P206:Q206" si="273">+P144-P176</f>
        <v>229775</v>
      </c>
      <c r="Q206" s="279">
        <f t="shared" si="273"/>
        <v>0</v>
      </c>
      <c r="R206" s="279">
        <f t="shared" ref="R206:T206" si="274">+R144-R176</f>
        <v>0</v>
      </c>
      <c r="S206" s="279">
        <f t="shared" si="274"/>
        <v>0</v>
      </c>
      <c r="T206" s="279">
        <f t="shared" si="274"/>
        <v>0</v>
      </c>
      <c r="U206" s="306">
        <f>+U144-U176</f>
        <v>-4513377</v>
      </c>
      <c r="V206" s="1511"/>
    </row>
    <row r="207" spans="1:27" ht="13.5" customHeight="1">
      <c r="A207" s="283" t="s">
        <v>31</v>
      </c>
      <c r="B207" s="279">
        <f t="shared" si="243"/>
        <v>0</v>
      </c>
      <c r="C207" s="279">
        <f t="shared" si="243"/>
        <v>0</v>
      </c>
      <c r="D207" s="279">
        <f t="shared" si="243"/>
        <v>0</v>
      </c>
      <c r="E207" s="279">
        <f t="shared" si="243"/>
        <v>0</v>
      </c>
      <c r="F207" s="279">
        <f t="shared" si="243"/>
        <v>0</v>
      </c>
      <c r="G207" s="280">
        <f t="shared" si="243"/>
        <v>0</v>
      </c>
      <c r="H207" s="279">
        <f t="shared" si="243"/>
        <v>0</v>
      </c>
      <c r="I207" s="279">
        <f t="shared" si="243"/>
        <v>-1023120</v>
      </c>
      <c r="J207" s="279">
        <f t="shared" ref="J207" si="275">+J145-J177</f>
        <v>0</v>
      </c>
      <c r="K207" s="1046">
        <f t="shared" si="243"/>
        <v>0</v>
      </c>
      <c r="L207" s="281">
        <f t="shared" si="243"/>
        <v>0</v>
      </c>
      <c r="M207" s="282">
        <f t="shared" si="243"/>
        <v>0</v>
      </c>
      <c r="N207" s="279">
        <f t="shared" si="243"/>
        <v>0</v>
      </c>
      <c r="O207" s="279">
        <f t="shared" si="243"/>
        <v>0</v>
      </c>
      <c r="P207" s="279">
        <f t="shared" ref="P207:Q207" si="276">+P145-P177</f>
        <v>0</v>
      </c>
      <c r="Q207" s="279">
        <f t="shared" si="276"/>
        <v>0</v>
      </c>
      <c r="R207" s="279">
        <f t="shared" ref="R207:T207" si="277">+R145-R177</f>
        <v>0</v>
      </c>
      <c r="S207" s="279">
        <f t="shared" si="277"/>
        <v>0</v>
      </c>
      <c r="T207" s="279">
        <f t="shared" si="277"/>
        <v>0</v>
      </c>
      <c r="U207" s="306">
        <f>+U145-U177</f>
        <v>0</v>
      </c>
      <c r="V207" s="1511"/>
    </row>
    <row r="208" spans="1:27" ht="13.5" thickBot="1">
      <c r="A208" s="284" t="s">
        <v>33</v>
      </c>
      <c r="B208" s="285" t="e">
        <f t="shared" si="243"/>
        <v>#REF!</v>
      </c>
      <c r="C208" s="285" t="e">
        <f t="shared" si="243"/>
        <v>#REF!</v>
      </c>
      <c r="D208" s="285" t="e">
        <f t="shared" si="243"/>
        <v>#REF!</v>
      </c>
      <c r="E208" s="285" t="e">
        <f t="shared" si="243"/>
        <v>#REF!</v>
      </c>
      <c r="F208" s="285" t="e">
        <f t="shared" si="243"/>
        <v>#REF!</v>
      </c>
      <c r="G208" s="286" t="e">
        <f t="shared" si="243"/>
        <v>#REF!</v>
      </c>
      <c r="H208" s="285" t="e">
        <f t="shared" si="243"/>
        <v>#REF!</v>
      </c>
      <c r="I208" s="285" t="e">
        <f t="shared" si="243"/>
        <v>#REF!</v>
      </c>
      <c r="J208" s="285">
        <f t="shared" ref="J208" si="278">+J146-J178</f>
        <v>-14510719</v>
      </c>
      <c r="K208" s="1047">
        <f t="shared" si="243"/>
        <v>-5668308</v>
      </c>
      <c r="L208" s="287">
        <f t="shared" si="243"/>
        <v>-545865</v>
      </c>
      <c r="M208" s="288">
        <f t="shared" si="243"/>
        <v>-1048966</v>
      </c>
      <c r="N208" s="285">
        <f t="shared" si="243"/>
        <v>137868908</v>
      </c>
      <c r="O208" s="285">
        <f t="shared" si="243"/>
        <v>117095503</v>
      </c>
      <c r="P208" s="285">
        <f t="shared" ref="P208:Q208" si="279">+P146-P178</f>
        <v>29829897</v>
      </c>
      <c r="Q208" s="285">
        <f t="shared" si="279"/>
        <v>12349911</v>
      </c>
      <c r="R208" s="285">
        <f t="shared" ref="R208:T208" si="280">+R146-R178</f>
        <v>0</v>
      </c>
      <c r="S208" s="285">
        <f t="shared" si="280"/>
        <v>0</v>
      </c>
      <c r="T208" s="285">
        <f t="shared" si="280"/>
        <v>0</v>
      </c>
      <c r="U208" s="306">
        <f>+U146-U178</f>
        <v>281038669</v>
      </c>
      <c r="V208" s="1511"/>
    </row>
    <row r="209" spans="1:22" ht="13.5" thickBot="1">
      <c r="A209" s="307"/>
      <c r="B209" s="308" t="e">
        <f>SUM(B197:B208)</f>
        <v>#REF!</v>
      </c>
      <c r="C209" s="308" t="e">
        <f t="shared" ref="C209:M209" si="281">SUM(C197:C208)</f>
        <v>#REF!</v>
      </c>
      <c r="D209" s="308" t="e">
        <f t="shared" si="281"/>
        <v>#REF!</v>
      </c>
      <c r="E209" s="308" t="e">
        <f t="shared" si="281"/>
        <v>#REF!</v>
      </c>
      <c r="F209" s="308" t="e">
        <f t="shared" si="281"/>
        <v>#REF!</v>
      </c>
      <c r="G209" s="308" t="e">
        <f t="shared" si="281"/>
        <v>#REF!</v>
      </c>
      <c r="H209" s="309" t="e">
        <f t="shared" si="281"/>
        <v>#REF!</v>
      </c>
      <c r="I209" s="309" t="e">
        <f t="shared" si="281"/>
        <v>#REF!</v>
      </c>
      <c r="J209" s="309">
        <f t="shared" ref="J209" si="282">SUM(J197:J208)</f>
        <v>-12282114</v>
      </c>
      <c r="K209" s="1051">
        <f t="shared" si="281"/>
        <v>2146458</v>
      </c>
      <c r="L209" s="310">
        <f t="shared" si="281"/>
        <v>-1871607</v>
      </c>
      <c r="M209" s="308">
        <f t="shared" si="281"/>
        <v>9254016</v>
      </c>
      <c r="N209" s="308">
        <f>SUM(N197:N208)</f>
        <v>146926480</v>
      </c>
      <c r="O209" s="308">
        <f>SUM(O197:O208)</f>
        <v>126088420</v>
      </c>
      <c r="P209" s="308">
        <f t="shared" ref="P209:T209" si="283">SUM(P197:P208)</f>
        <v>33387872</v>
      </c>
      <c r="Q209" s="308">
        <f t="shared" si="283"/>
        <v>13744411</v>
      </c>
      <c r="R209" s="308">
        <f t="shared" si="283"/>
        <v>0</v>
      </c>
      <c r="S209" s="308">
        <f t="shared" si="283"/>
        <v>0</v>
      </c>
      <c r="T209" s="308">
        <f t="shared" si="283"/>
        <v>0</v>
      </c>
      <c r="U209" s="308">
        <f>SUM(U197:U208)</f>
        <v>315247478</v>
      </c>
      <c r="V209" s="1513"/>
    </row>
    <row r="210" spans="1:22" ht="2.25" customHeight="1">
      <c r="A210" s="2"/>
      <c r="B210" s="2"/>
      <c r="C210" s="2"/>
      <c r="D210" s="2"/>
      <c r="E210" s="2"/>
      <c r="F210" s="2"/>
      <c r="H210" s="311"/>
      <c r="I210" s="311"/>
      <c r="J210" s="311"/>
      <c r="K210" s="1052"/>
      <c r="L210" s="312"/>
      <c r="U210" s="2"/>
    </row>
    <row r="211" spans="1:22">
      <c r="A211" s="295" t="s">
        <v>56</v>
      </c>
      <c r="B211" s="313" t="e">
        <f t="shared" ref="B211:U211" si="284">+B134-B166</f>
        <v>#REF!</v>
      </c>
      <c r="C211" s="314" t="e">
        <f t="shared" si="284"/>
        <v>#REF!</v>
      </c>
      <c r="D211" s="314" t="e">
        <f t="shared" si="284"/>
        <v>#REF!</v>
      </c>
      <c r="E211" s="314" t="e">
        <f t="shared" si="284"/>
        <v>#REF!</v>
      </c>
      <c r="F211" s="313" t="e">
        <f t="shared" si="284"/>
        <v>#REF!</v>
      </c>
      <c r="G211" s="313" t="e">
        <f t="shared" si="284"/>
        <v>#REF!</v>
      </c>
      <c r="H211" s="315" t="e">
        <f t="shared" si="284"/>
        <v>#REF!</v>
      </c>
      <c r="I211" s="315" t="e">
        <f t="shared" si="284"/>
        <v>#REF!</v>
      </c>
      <c r="J211" s="315">
        <f t="shared" ref="J211" si="285">+J134-J166</f>
        <v>-12282114</v>
      </c>
      <c r="K211" s="1053">
        <f t="shared" si="284"/>
        <v>2146458</v>
      </c>
      <c r="L211" s="316">
        <f t="shared" si="284"/>
        <v>-1871607</v>
      </c>
      <c r="M211" s="313">
        <f t="shared" si="284"/>
        <v>9254016</v>
      </c>
      <c r="N211" s="313">
        <f t="shared" si="284"/>
        <v>146926480</v>
      </c>
      <c r="O211" s="313">
        <f t="shared" si="284"/>
        <v>126088420</v>
      </c>
      <c r="P211" s="313">
        <f t="shared" ref="P211:Q211" si="286">+P134-P166</f>
        <v>33387872</v>
      </c>
      <c r="Q211" s="313">
        <f t="shared" si="286"/>
        <v>13744411</v>
      </c>
      <c r="R211" s="313">
        <f t="shared" ref="R211:T211" si="287">+R134-R166</f>
        <v>0</v>
      </c>
      <c r="S211" s="313">
        <f t="shared" si="287"/>
        <v>0</v>
      </c>
      <c r="T211" s="313">
        <f t="shared" si="287"/>
        <v>0</v>
      </c>
      <c r="U211" s="313">
        <f t="shared" si="284"/>
        <v>315247478</v>
      </c>
    </row>
    <row r="212" spans="1:22" ht="14.25" customHeight="1" thickBot="1">
      <c r="A212" s="2"/>
      <c r="B212" s="2"/>
      <c r="C212" s="2"/>
      <c r="D212" s="2"/>
      <c r="E212" s="2"/>
      <c r="F212" s="2"/>
      <c r="G212" s="317" t="e">
        <f>+G211-G209</f>
        <v>#REF!</v>
      </c>
      <c r="H212" s="318" t="e">
        <f>+H211-H209</f>
        <v>#REF!</v>
      </c>
      <c r="I212" s="317" t="e">
        <f t="shared" ref="I212:U212" si="288">+I211-I209</f>
        <v>#REF!</v>
      </c>
      <c r="J212" s="317">
        <f t="shared" ref="J212" si="289">+J211-J209</f>
        <v>0</v>
      </c>
      <c r="K212" s="1054">
        <f t="shared" si="288"/>
        <v>0</v>
      </c>
      <c r="L212" s="319">
        <f t="shared" si="288"/>
        <v>0</v>
      </c>
      <c r="M212" s="317">
        <f t="shared" si="288"/>
        <v>0</v>
      </c>
      <c r="N212" s="317">
        <f t="shared" si="288"/>
        <v>0</v>
      </c>
      <c r="O212" s="317">
        <f t="shared" si="288"/>
        <v>0</v>
      </c>
      <c r="P212" s="317">
        <f t="shared" ref="P212:Q212" si="290">+P211-P209</f>
        <v>0</v>
      </c>
      <c r="Q212" s="317">
        <f t="shared" si="290"/>
        <v>0</v>
      </c>
      <c r="R212" s="317">
        <f t="shared" ref="R212:T212" si="291">+R211-R209</f>
        <v>0</v>
      </c>
      <c r="S212" s="317">
        <f t="shared" si="291"/>
        <v>0</v>
      </c>
      <c r="T212" s="317">
        <f t="shared" si="291"/>
        <v>0</v>
      </c>
      <c r="U212" s="317">
        <f t="shared" si="288"/>
        <v>0</v>
      </c>
    </row>
    <row r="213" spans="1:22" ht="12" customHeight="1">
      <c r="A213" s="2"/>
      <c r="B213" s="2"/>
      <c r="C213" s="2"/>
      <c r="D213" s="2"/>
      <c r="E213" s="2"/>
      <c r="F213" s="2"/>
      <c r="H213" s="311"/>
      <c r="U213" s="317"/>
    </row>
    <row r="214" spans="1:22">
      <c r="A214" s="2"/>
      <c r="B214" s="2"/>
      <c r="C214" s="2"/>
      <c r="D214" s="2"/>
      <c r="E214" s="2"/>
      <c r="F214" s="2"/>
      <c r="U214" s="2"/>
    </row>
    <row r="215" spans="1:22">
      <c r="A215" s="2"/>
      <c r="B215" s="2"/>
      <c r="C215" s="2"/>
      <c r="D215" s="2"/>
      <c r="E215" s="2"/>
      <c r="F215" s="2"/>
    </row>
    <row r="216" spans="1:22">
      <c r="A216" s="2"/>
      <c r="B216" s="2"/>
      <c r="C216" s="2"/>
      <c r="D216" s="2"/>
      <c r="E216" s="2"/>
      <c r="F216" s="2"/>
      <c r="U216" s="2"/>
    </row>
    <row r="217" spans="1:22">
      <c r="A217" s="2"/>
      <c r="B217" s="2"/>
      <c r="C217" s="2"/>
      <c r="D217" s="2"/>
      <c r="E217" s="2"/>
      <c r="F217" s="2"/>
      <c r="L217" s="3966" t="s">
        <v>595</v>
      </c>
      <c r="M217" s="3966"/>
      <c r="N217" s="3966"/>
      <c r="O217" s="3966"/>
      <c r="P217" s="3966"/>
      <c r="Q217" s="3966"/>
      <c r="U217" s="2"/>
      <c r="V217" s="2"/>
    </row>
    <row r="218" spans="1:22" ht="21" customHeight="1">
      <c r="A218" s="2"/>
      <c r="B218" s="2"/>
      <c r="C218" s="2"/>
      <c r="D218" s="2"/>
      <c r="E218" s="2"/>
      <c r="F218" s="2"/>
      <c r="M218" s="3116" t="s">
        <v>596</v>
      </c>
      <c r="N218" s="3967" t="s">
        <v>5</v>
      </c>
      <c r="O218" s="3968"/>
      <c r="P218" s="3968"/>
      <c r="Q218" s="3968"/>
      <c r="R218" s="3968"/>
      <c r="S218" s="3969"/>
      <c r="T218" s="3117" t="s">
        <v>597</v>
      </c>
      <c r="U218" s="3117" t="s">
        <v>598</v>
      </c>
      <c r="V218" s="3118"/>
    </row>
    <row r="219" spans="1:22" ht="28.5" customHeight="1">
      <c r="A219" s="2"/>
      <c r="B219" s="2"/>
      <c r="C219" s="2"/>
      <c r="D219" s="2"/>
      <c r="E219" s="2"/>
      <c r="F219" s="2"/>
      <c r="M219" s="3119" t="s">
        <v>79</v>
      </c>
      <c r="N219" s="3958" t="s">
        <v>600</v>
      </c>
      <c r="O219" s="3959"/>
      <c r="P219" s="3959"/>
      <c r="Q219" s="3959"/>
      <c r="R219" s="3959"/>
      <c r="S219" s="3960"/>
      <c r="T219" s="3120">
        <v>13875314</v>
      </c>
      <c r="U219" s="3120">
        <v>11402877</v>
      </c>
      <c r="V219" s="3121"/>
    </row>
    <row r="220" spans="1:22" ht="29.25" customHeight="1">
      <c r="A220" s="2"/>
      <c r="B220" s="2"/>
      <c r="C220" s="2"/>
      <c r="D220" s="2"/>
      <c r="E220" s="2"/>
      <c r="F220" s="2"/>
      <c r="M220" s="3119" t="s">
        <v>80</v>
      </c>
      <c r="N220" s="3958" t="s">
        <v>602</v>
      </c>
      <c r="O220" s="3959"/>
      <c r="P220" s="3959"/>
      <c r="Q220" s="3959"/>
      <c r="R220" s="3959"/>
      <c r="S220" s="3960"/>
      <c r="T220" s="3120">
        <v>5952665</v>
      </c>
      <c r="U220" s="3120">
        <v>4907828</v>
      </c>
      <c r="V220" s="3121"/>
    </row>
    <row r="221" spans="1:22" ht="31.5" customHeight="1">
      <c r="A221" s="2"/>
      <c r="B221" s="2"/>
      <c r="C221" s="2"/>
      <c r="D221" s="2"/>
      <c r="E221" s="2"/>
      <c r="F221" s="2"/>
      <c r="M221" s="3119" t="s">
        <v>81</v>
      </c>
      <c r="N221" s="3958" t="s">
        <v>261</v>
      </c>
      <c r="O221" s="3959"/>
      <c r="P221" s="3959"/>
      <c r="Q221" s="3959"/>
      <c r="R221" s="3959"/>
      <c r="S221" s="3960"/>
      <c r="T221" s="3120">
        <v>1634721</v>
      </c>
      <c r="U221" s="3120">
        <v>1634721</v>
      </c>
      <c r="V221" s="3121"/>
    </row>
    <row r="222" spans="1:22" ht="31.5" customHeight="1">
      <c r="A222" s="2"/>
      <c r="B222" s="2"/>
      <c r="C222" s="2"/>
      <c r="D222" s="2"/>
      <c r="E222" s="2"/>
      <c r="F222" s="2"/>
      <c r="M222" s="3119" t="s">
        <v>82</v>
      </c>
      <c r="N222" s="3958" t="s">
        <v>394</v>
      </c>
      <c r="O222" s="3959"/>
      <c r="P222" s="3959"/>
      <c r="Q222" s="3959"/>
      <c r="R222" s="3959"/>
      <c r="S222" s="3960"/>
      <c r="T222" s="3120">
        <v>3837498</v>
      </c>
      <c r="U222" s="3120">
        <v>3837498</v>
      </c>
      <c r="V222" s="3121"/>
    </row>
    <row r="223" spans="1:22" ht="15">
      <c r="A223" s="2"/>
      <c r="B223" s="2"/>
      <c r="C223" s="2"/>
      <c r="D223" s="2"/>
      <c r="E223" s="2"/>
      <c r="F223" s="2"/>
      <c r="M223" s="3119" t="s">
        <v>83</v>
      </c>
      <c r="N223" s="3961"/>
      <c r="O223" s="3962"/>
      <c r="P223" s="3962"/>
      <c r="Q223" s="3962"/>
      <c r="R223" s="3962"/>
      <c r="S223" s="3963"/>
      <c r="T223" s="3120"/>
      <c r="U223" s="3120"/>
      <c r="V223" s="3121"/>
    </row>
    <row r="224" spans="1:22" ht="15.75">
      <c r="A224" s="2"/>
      <c r="B224" s="2"/>
      <c r="C224" s="2"/>
      <c r="D224" s="2"/>
      <c r="E224" s="2"/>
      <c r="F224" s="2"/>
      <c r="M224" s="3122" t="s">
        <v>140</v>
      </c>
      <c r="N224" s="3961"/>
      <c r="O224" s="3962"/>
      <c r="P224" s="3962"/>
      <c r="Q224" s="3962"/>
      <c r="R224" s="3962"/>
      <c r="S224" s="3963"/>
      <c r="T224" s="3120"/>
      <c r="U224" s="3120"/>
      <c r="V224" s="3121"/>
    </row>
    <row r="225" spans="1:22" ht="21" customHeight="1">
      <c r="A225" s="2"/>
      <c r="B225" s="2"/>
      <c r="C225" s="2"/>
      <c r="D225" s="2"/>
      <c r="E225" s="2"/>
      <c r="F225" s="2"/>
      <c r="M225" s="3123" t="s">
        <v>84</v>
      </c>
      <c r="N225" s="3955" t="s">
        <v>599</v>
      </c>
      <c r="O225" s="3956"/>
      <c r="P225" s="3956"/>
      <c r="Q225" s="3956"/>
      <c r="R225" s="3956"/>
      <c r="S225" s="3957"/>
      <c r="T225" s="3124">
        <f>SUM(T219:T224)</f>
        <v>25300198</v>
      </c>
      <c r="U225" s="3124">
        <f>SUM(U219:U224)</f>
        <v>21782924</v>
      </c>
      <c r="V225" s="3125"/>
    </row>
    <row r="226" spans="1:22">
      <c r="A226" s="2"/>
      <c r="B226" s="2"/>
      <c r="C226" s="2"/>
      <c r="D226" s="2"/>
      <c r="E226" s="2"/>
      <c r="F226" s="2"/>
      <c r="U226" s="2"/>
    </row>
    <row r="227" spans="1:22">
      <c r="A227" s="2"/>
      <c r="B227" s="2"/>
      <c r="C227" s="2"/>
      <c r="D227" s="2"/>
      <c r="E227" s="2"/>
      <c r="F227" s="2"/>
      <c r="U227" s="2"/>
    </row>
    <row r="228" spans="1:22">
      <c r="A228" s="2"/>
      <c r="B228" s="2"/>
      <c r="C228" s="2"/>
      <c r="D228" s="2"/>
      <c r="E228" s="2"/>
      <c r="F228" s="2"/>
      <c r="U228" s="2"/>
    </row>
    <row r="229" spans="1:22">
      <c r="A229" s="2"/>
      <c r="B229" s="2"/>
      <c r="C229" s="2"/>
      <c r="D229" s="2"/>
      <c r="E229" s="2"/>
      <c r="F229" s="2"/>
      <c r="U229" s="2"/>
    </row>
    <row r="230" spans="1:22">
      <c r="A230" s="2"/>
      <c r="B230" s="2"/>
      <c r="C230" s="2"/>
      <c r="D230" s="2"/>
      <c r="E230" s="2"/>
      <c r="F230" s="2"/>
      <c r="U230" s="2"/>
    </row>
    <row r="231" spans="1:22">
      <c r="A231" s="2"/>
      <c r="B231" s="2"/>
      <c r="C231" s="2"/>
      <c r="D231" s="2"/>
      <c r="E231" s="2"/>
      <c r="F231" s="2"/>
      <c r="U231" s="2"/>
    </row>
    <row r="232" spans="1:22">
      <c r="A232" s="2"/>
      <c r="B232" s="2"/>
      <c r="C232" s="2"/>
      <c r="D232" s="2"/>
      <c r="E232" s="2"/>
      <c r="F232" s="2"/>
      <c r="U232" s="2"/>
    </row>
    <row r="233" spans="1:22">
      <c r="A233" s="2"/>
      <c r="B233" s="2"/>
      <c r="C233" s="2"/>
      <c r="D233" s="2"/>
      <c r="E233" s="2"/>
      <c r="F233" s="2"/>
      <c r="U233" s="2"/>
    </row>
    <row r="234" spans="1:22">
      <c r="A234" s="2"/>
      <c r="B234" s="2"/>
      <c r="C234" s="2"/>
      <c r="D234" s="2"/>
      <c r="E234" s="2"/>
      <c r="F234" s="2"/>
      <c r="U234" s="2"/>
    </row>
    <row r="235" spans="1:22">
      <c r="A235" s="2"/>
      <c r="B235" s="2"/>
      <c r="C235" s="2"/>
      <c r="D235" s="2"/>
      <c r="E235" s="2"/>
      <c r="F235" s="2"/>
      <c r="U235" s="2"/>
    </row>
    <row r="236" spans="1:22">
      <c r="A236" s="2"/>
      <c r="B236" s="2"/>
      <c r="C236" s="2"/>
      <c r="D236" s="2"/>
      <c r="E236" s="2"/>
      <c r="F236" s="2"/>
      <c r="U236" s="2"/>
    </row>
    <row r="237" spans="1:22">
      <c r="A237" s="2"/>
      <c r="B237" s="2"/>
      <c r="C237" s="2"/>
      <c r="D237" s="2"/>
      <c r="E237" s="2"/>
      <c r="F237" s="2"/>
      <c r="U237" s="2"/>
    </row>
    <row r="238" spans="1:22">
      <c r="A238" s="2"/>
      <c r="B238" s="2"/>
      <c r="C238" s="2"/>
      <c r="D238" s="2"/>
      <c r="E238" s="2"/>
      <c r="F238" s="2"/>
      <c r="U238" s="2"/>
    </row>
    <row r="239" spans="1:22">
      <c r="A239" s="2"/>
      <c r="B239" s="2"/>
      <c r="C239" s="2"/>
      <c r="D239" s="2"/>
      <c r="E239" s="2"/>
      <c r="F239" s="2"/>
      <c r="U239" s="2"/>
    </row>
    <row r="240" spans="1:22">
      <c r="A240" s="2"/>
      <c r="B240" s="2"/>
      <c r="C240" s="2"/>
      <c r="D240" s="2"/>
      <c r="E240" s="2"/>
      <c r="F240" s="2"/>
      <c r="U240" s="2"/>
    </row>
    <row r="241" spans="1:21">
      <c r="A241" s="2"/>
      <c r="B241" s="2"/>
      <c r="C241" s="2"/>
      <c r="D241" s="2"/>
      <c r="E241" s="2"/>
      <c r="F241" s="2"/>
      <c r="U241" s="2"/>
    </row>
    <row r="242" spans="1:21">
      <c r="A242" s="2"/>
      <c r="B242" s="2"/>
      <c r="C242" s="2"/>
      <c r="D242" s="2"/>
      <c r="E242" s="2"/>
      <c r="F242" s="2"/>
      <c r="U242" s="2"/>
    </row>
    <row r="243" spans="1:21">
      <c r="A243" s="2"/>
      <c r="B243" s="2"/>
      <c r="C243" s="2"/>
      <c r="D243" s="2"/>
      <c r="E243" s="2"/>
      <c r="F243" s="2"/>
      <c r="U243" s="2"/>
    </row>
    <row r="244" spans="1:21">
      <c r="A244" s="2"/>
      <c r="B244" s="2"/>
      <c r="C244" s="2"/>
      <c r="D244" s="2"/>
      <c r="E244" s="2"/>
      <c r="F244" s="2"/>
      <c r="U244" s="2"/>
    </row>
    <row r="245" spans="1:21">
      <c r="A245" s="2"/>
      <c r="B245" s="2"/>
      <c r="C245" s="2"/>
      <c r="D245" s="2"/>
      <c r="E245" s="2"/>
      <c r="F245" s="2"/>
      <c r="U245" s="2"/>
    </row>
    <row r="246" spans="1:21">
      <c r="A246" s="2"/>
      <c r="B246" s="2"/>
      <c r="C246" s="2"/>
      <c r="D246" s="2"/>
      <c r="E246" s="2"/>
      <c r="F246" s="2"/>
      <c r="U246" s="2"/>
    </row>
    <row r="247" spans="1:21">
      <c r="A247" s="2"/>
      <c r="B247" s="2"/>
      <c r="C247" s="2"/>
      <c r="D247" s="2"/>
      <c r="E247" s="2"/>
      <c r="F247" s="2"/>
      <c r="U247" s="2"/>
    </row>
    <row r="248" spans="1:21">
      <c r="A248" s="2"/>
      <c r="B248" s="2"/>
      <c r="C248" s="2"/>
      <c r="D248" s="2"/>
      <c r="E248" s="2"/>
      <c r="F248" s="2"/>
      <c r="U248" s="2"/>
    </row>
    <row r="249" spans="1:21">
      <c r="A249" s="2"/>
      <c r="B249" s="2"/>
      <c r="C249" s="2"/>
      <c r="D249" s="2"/>
      <c r="E249" s="2"/>
      <c r="F249" s="2"/>
      <c r="U249" s="2"/>
    </row>
    <row r="250" spans="1:21">
      <c r="A250" s="2"/>
      <c r="B250" s="2"/>
      <c r="C250" s="2"/>
      <c r="D250" s="2"/>
      <c r="E250" s="2"/>
      <c r="F250" s="2"/>
      <c r="U250" s="2"/>
    </row>
    <row r="251" spans="1:21">
      <c r="A251" s="2"/>
      <c r="B251" s="2"/>
      <c r="C251" s="2"/>
      <c r="D251" s="2"/>
      <c r="E251" s="2"/>
      <c r="F251" s="2"/>
      <c r="U251" s="2"/>
    </row>
    <row r="252" spans="1:21">
      <c r="A252" s="2"/>
      <c r="B252" s="2"/>
      <c r="C252" s="2"/>
      <c r="D252" s="2"/>
      <c r="E252" s="2"/>
      <c r="F252" s="2"/>
      <c r="U252" s="2"/>
    </row>
    <row r="253" spans="1:21">
      <c r="A253" s="2"/>
      <c r="B253" s="2"/>
      <c r="C253" s="2"/>
      <c r="D253" s="2"/>
      <c r="E253" s="2"/>
      <c r="F253" s="2"/>
      <c r="U253" s="2"/>
    </row>
    <row r="254" spans="1:21">
      <c r="A254" s="2"/>
      <c r="B254" s="2"/>
      <c r="C254" s="2"/>
      <c r="D254" s="2"/>
      <c r="E254" s="2"/>
      <c r="F254" s="2"/>
      <c r="U254" s="2"/>
    </row>
    <row r="255" spans="1:21">
      <c r="A255" s="2"/>
      <c r="B255" s="2"/>
      <c r="C255" s="2"/>
      <c r="D255" s="2"/>
      <c r="E255" s="2"/>
      <c r="F255" s="2"/>
      <c r="U255" s="2"/>
    </row>
    <row r="256" spans="1:21">
      <c r="A256" s="2"/>
      <c r="B256" s="2"/>
      <c r="C256" s="2"/>
      <c r="D256" s="2"/>
      <c r="E256" s="2"/>
      <c r="F256" s="2"/>
      <c r="U256" s="2"/>
    </row>
    <row r="257" spans="1:21">
      <c r="A257" s="2"/>
      <c r="B257" s="2"/>
      <c r="C257" s="2"/>
      <c r="D257" s="2"/>
      <c r="E257" s="2"/>
      <c r="F257" s="2"/>
      <c r="U257" s="2"/>
    </row>
    <row r="258" spans="1:21">
      <c r="A258" s="2"/>
      <c r="B258" s="2"/>
      <c r="C258" s="2"/>
      <c r="D258" s="2"/>
      <c r="E258" s="2"/>
      <c r="F258" s="2"/>
      <c r="U258" s="2"/>
    </row>
    <row r="259" spans="1:21">
      <c r="A259" s="2"/>
      <c r="B259" s="2"/>
      <c r="C259" s="2"/>
      <c r="D259" s="2"/>
      <c r="E259" s="2"/>
      <c r="F259" s="2"/>
      <c r="U259" s="2"/>
    </row>
    <row r="260" spans="1:21">
      <c r="A260" s="2"/>
      <c r="B260" s="2"/>
      <c r="C260" s="2"/>
      <c r="D260" s="2"/>
      <c r="E260" s="2"/>
      <c r="F260" s="2"/>
      <c r="U260" s="2"/>
    </row>
    <row r="261" spans="1:21">
      <c r="A261" s="2"/>
      <c r="B261" s="2"/>
      <c r="C261" s="2"/>
      <c r="D261" s="2"/>
      <c r="E261" s="2"/>
      <c r="F261" s="2"/>
      <c r="U261" s="2"/>
    </row>
    <row r="262" spans="1:21">
      <c r="A262" s="2"/>
      <c r="B262" s="2"/>
      <c r="C262" s="2"/>
      <c r="D262" s="2"/>
      <c r="E262" s="2"/>
      <c r="F262" s="2"/>
      <c r="U262" s="2"/>
    </row>
    <row r="263" spans="1:21">
      <c r="A263" s="2"/>
      <c r="B263" s="2"/>
      <c r="C263" s="2"/>
      <c r="D263" s="2"/>
      <c r="E263" s="2"/>
      <c r="F263" s="2"/>
      <c r="U263" s="2"/>
    </row>
    <row r="264" spans="1:21">
      <c r="A264" s="2"/>
      <c r="B264" s="2"/>
      <c r="C264" s="2"/>
      <c r="D264" s="2"/>
      <c r="E264" s="2"/>
      <c r="F264" s="2"/>
      <c r="U264" s="2"/>
    </row>
    <row r="265" spans="1:21">
      <c r="A265" s="2"/>
      <c r="B265" s="2"/>
      <c r="C265" s="2"/>
      <c r="D265" s="2"/>
      <c r="E265" s="2"/>
      <c r="F265" s="2"/>
      <c r="U265" s="2"/>
    </row>
    <row r="266" spans="1:21">
      <c r="A266" s="2"/>
      <c r="B266" s="2"/>
      <c r="C266" s="2"/>
      <c r="D266" s="2"/>
      <c r="E266" s="2"/>
      <c r="F266" s="2"/>
      <c r="U266" s="2"/>
    </row>
    <row r="267" spans="1:21">
      <c r="A267" s="2"/>
      <c r="B267" s="2"/>
      <c r="C267" s="2"/>
      <c r="D267" s="2"/>
      <c r="E267" s="2"/>
      <c r="F267" s="2"/>
      <c r="U267" s="2"/>
    </row>
    <row r="268" spans="1:21">
      <c r="A268" s="2"/>
      <c r="B268" s="2"/>
      <c r="C268" s="2"/>
      <c r="D268" s="2"/>
      <c r="E268" s="2"/>
      <c r="F268" s="2"/>
      <c r="U268" s="2"/>
    </row>
    <row r="269" spans="1:21">
      <c r="A269" s="2"/>
      <c r="B269" s="2"/>
      <c r="C269" s="2"/>
      <c r="D269" s="2"/>
      <c r="E269" s="2"/>
      <c r="F269" s="2"/>
      <c r="U269" s="2"/>
    </row>
    <row r="270" spans="1:21">
      <c r="A270" s="2"/>
      <c r="B270" s="2"/>
      <c r="C270" s="2"/>
      <c r="D270" s="2"/>
      <c r="E270" s="2"/>
      <c r="F270" s="2"/>
      <c r="U270" s="2"/>
    </row>
    <row r="271" spans="1:21">
      <c r="A271" s="2"/>
      <c r="B271" s="2"/>
      <c r="C271" s="2"/>
      <c r="D271" s="2"/>
      <c r="E271" s="2"/>
      <c r="F271" s="2"/>
      <c r="U271" s="2"/>
    </row>
    <row r="272" spans="1:21">
      <c r="A272" s="2"/>
      <c r="B272" s="2"/>
      <c r="C272" s="2"/>
      <c r="D272" s="2"/>
      <c r="E272" s="2"/>
      <c r="F272" s="2"/>
      <c r="U272" s="2"/>
    </row>
    <row r="273" spans="1:21">
      <c r="A273" s="2"/>
      <c r="B273" s="2"/>
      <c r="C273" s="2"/>
      <c r="D273" s="2"/>
      <c r="E273" s="2"/>
      <c r="F273" s="2"/>
      <c r="U273" s="2"/>
    </row>
    <row r="274" spans="1:21">
      <c r="A274" s="2"/>
      <c r="B274" s="2"/>
      <c r="C274" s="2"/>
      <c r="D274" s="2"/>
      <c r="E274" s="2"/>
      <c r="F274" s="2"/>
      <c r="U274" s="2"/>
    </row>
    <row r="275" spans="1:21">
      <c r="A275" s="2"/>
      <c r="B275" s="2"/>
      <c r="C275" s="2"/>
      <c r="D275" s="2"/>
      <c r="E275" s="2"/>
      <c r="F275" s="2"/>
      <c r="U275" s="2"/>
    </row>
    <row r="276" spans="1:21">
      <c r="A276" s="2"/>
      <c r="B276" s="2"/>
      <c r="C276" s="2"/>
      <c r="D276" s="2"/>
      <c r="E276" s="2"/>
      <c r="F276" s="2"/>
      <c r="U276" s="2"/>
    </row>
    <row r="277" spans="1:21">
      <c r="A277" s="2"/>
      <c r="B277" s="2"/>
      <c r="C277" s="2"/>
      <c r="D277" s="2"/>
      <c r="E277" s="2"/>
      <c r="F277" s="2"/>
      <c r="U277" s="2"/>
    </row>
    <row r="278" spans="1:21">
      <c r="A278" s="2"/>
      <c r="B278" s="2"/>
      <c r="C278" s="2"/>
      <c r="D278" s="2"/>
      <c r="E278" s="2"/>
      <c r="F278" s="2"/>
      <c r="U278" s="2"/>
    </row>
    <row r="279" spans="1:21">
      <c r="A279" s="2"/>
      <c r="B279" s="2"/>
      <c r="C279" s="2"/>
      <c r="D279" s="2"/>
      <c r="E279" s="2"/>
      <c r="F279" s="2"/>
      <c r="U279" s="2"/>
    </row>
    <row r="280" spans="1:21">
      <c r="A280" s="2"/>
      <c r="B280" s="2"/>
      <c r="C280" s="2"/>
      <c r="D280" s="2"/>
      <c r="E280" s="2"/>
      <c r="F280" s="2"/>
      <c r="U280" s="2"/>
    </row>
    <row r="281" spans="1:21">
      <c r="A281" s="2"/>
      <c r="B281" s="2"/>
      <c r="C281" s="2"/>
      <c r="D281" s="2"/>
      <c r="E281" s="2"/>
      <c r="F281" s="2"/>
      <c r="U281" s="2"/>
    </row>
    <row r="282" spans="1:21">
      <c r="A282" s="2"/>
      <c r="B282" s="2"/>
      <c r="C282" s="2"/>
      <c r="D282" s="2"/>
      <c r="E282" s="2"/>
      <c r="F282" s="2"/>
      <c r="U282" s="2"/>
    </row>
    <row r="283" spans="1:21">
      <c r="A283" s="2"/>
      <c r="B283" s="2"/>
      <c r="C283" s="2"/>
      <c r="D283" s="2"/>
      <c r="E283" s="2"/>
      <c r="F283" s="2"/>
      <c r="U283" s="2"/>
    </row>
    <row r="284" spans="1:21">
      <c r="A284" s="2"/>
      <c r="B284" s="2"/>
      <c r="C284" s="2"/>
      <c r="D284" s="2"/>
      <c r="E284" s="2"/>
      <c r="F284" s="2"/>
      <c r="U284" s="2"/>
    </row>
    <row r="285" spans="1:21">
      <c r="A285" s="2"/>
      <c r="B285" s="2"/>
      <c r="C285" s="2"/>
      <c r="D285" s="2"/>
      <c r="E285" s="2"/>
      <c r="F285" s="2"/>
      <c r="U285" s="2"/>
    </row>
    <row r="286" spans="1:21">
      <c r="A286" s="2"/>
      <c r="B286" s="2"/>
      <c r="C286" s="2"/>
      <c r="D286" s="2"/>
      <c r="E286" s="2"/>
      <c r="F286" s="2"/>
      <c r="U286" s="2"/>
    </row>
    <row r="287" spans="1:21">
      <c r="A287" s="2"/>
      <c r="B287" s="2"/>
      <c r="C287" s="2"/>
      <c r="D287" s="2"/>
      <c r="E287" s="2"/>
      <c r="F287" s="2"/>
      <c r="U287" s="2"/>
    </row>
    <row r="288" spans="1:21">
      <c r="A288" s="2"/>
      <c r="B288" s="2"/>
      <c r="C288" s="2"/>
      <c r="D288" s="2"/>
      <c r="E288" s="2"/>
      <c r="F288" s="2"/>
      <c r="U288" s="2"/>
    </row>
    <row r="289" spans="1:21">
      <c r="A289" s="2"/>
      <c r="B289" s="2"/>
      <c r="C289" s="2"/>
      <c r="D289" s="2"/>
      <c r="E289" s="2"/>
      <c r="F289" s="2"/>
      <c r="U289" s="2"/>
    </row>
    <row r="290" spans="1:21">
      <c r="A290" s="2"/>
      <c r="B290" s="2"/>
      <c r="C290" s="2"/>
      <c r="D290" s="2"/>
      <c r="E290" s="2"/>
      <c r="F290" s="2"/>
      <c r="U290" s="2"/>
    </row>
    <row r="291" spans="1:21">
      <c r="A291" s="2"/>
      <c r="B291" s="2"/>
      <c r="C291" s="2"/>
      <c r="D291" s="2"/>
      <c r="E291" s="2"/>
      <c r="F291" s="2"/>
      <c r="U291" s="2"/>
    </row>
    <row r="292" spans="1:21">
      <c r="A292" s="2"/>
      <c r="B292" s="2"/>
      <c r="C292" s="2"/>
      <c r="D292" s="2"/>
      <c r="E292" s="2"/>
      <c r="F292" s="2"/>
      <c r="U292" s="2"/>
    </row>
    <row r="293" spans="1:21">
      <c r="A293" s="2"/>
      <c r="B293" s="2"/>
      <c r="C293" s="2"/>
      <c r="D293" s="2"/>
      <c r="E293" s="2"/>
      <c r="F293" s="2"/>
      <c r="U293" s="2"/>
    </row>
    <row r="294" spans="1:21">
      <c r="A294" s="2"/>
      <c r="B294" s="2"/>
      <c r="C294" s="2"/>
      <c r="D294" s="2"/>
      <c r="E294" s="2"/>
      <c r="F294" s="2"/>
      <c r="U294" s="2"/>
    </row>
    <row r="295" spans="1:21">
      <c r="A295" s="2"/>
      <c r="B295" s="2"/>
      <c r="C295" s="2"/>
      <c r="D295" s="2"/>
      <c r="E295" s="2"/>
      <c r="F295" s="2"/>
      <c r="U295" s="2"/>
    </row>
    <row r="296" spans="1:21">
      <c r="A296" s="2"/>
      <c r="B296" s="2"/>
      <c r="C296" s="2"/>
      <c r="D296" s="2"/>
      <c r="E296" s="2"/>
      <c r="F296" s="2"/>
      <c r="U296" s="2"/>
    </row>
    <row r="297" spans="1:21">
      <c r="A297" s="2"/>
      <c r="B297" s="2"/>
      <c r="C297" s="2"/>
      <c r="D297" s="2"/>
      <c r="E297" s="2"/>
      <c r="F297" s="2"/>
      <c r="U297" s="2"/>
    </row>
    <row r="298" spans="1:21">
      <c r="A298" s="2"/>
      <c r="B298" s="2"/>
      <c r="C298" s="2"/>
      <c r="D298" s="2"/>
      <c r="E298" s="2"/>
      <c r="F298" s="2"/>
      <c r="U298" s="2"/>
    </row>
    <row r="299" spans="1:21">
      <c r="A299" s="2"/>
      <c r="B299" s="2"/>
      <c r="C299" s="2"/>
      <c r="D299" s="2"/>
      <c r="E299" s="2"/>
      <c r="F299" s="2"/>
      <c r="U299" s="2"/>
    </row>
    <row r="300" spans="1:21">
      <c r="A300" s="2"/>
      <c r="B300" s="2"/>
      <c r="C300" s="2"/>
      <c r="D300" s="2"/>
      <c r="E300" s="2"/>
      <c r="F300" s="2"/>
      <c r="U300" s="2"/>
    </row>
    <row r="301" spans="1:21">
      <c r="A301" s="2"/>
      <c r="B301" s="2"/>
      <c r="C301" s="2"/>
      <c r="D301" s="2"/>
      <c r="E301" s="2"/>
      <c r="F301" s="2"/>
      <c r="U301" s="2"/>
    </row>
    <row r="302" spans="1:21">
      <c r="A302" s="2"/>
      <c r="B302" s="2"/>
      <c r="C302" s="2"/>
      <c r="D302" s="2"/>
      <c r="E302" s="2"/>
      <c r="F302" s="2"/>
      <c r="U302" s="2"/>
    </row>
    <row r="303" spans="1:21">
      <c r="A303" s="2"/>
      <c r="B303" s="2"/>
      <c r="C303" s="2"/>
      <c r="D303" s="2"/>
      <c r="E303" s="2"/>
      <c r="F303" s="2"/>
      <c r="U303" s="2"/>
    </row>
    <row r="304" spans="1:21">
      <c r="A304" s="2"/>
      <c r="B304" s="2"/>
      <c r="C304" s="2"/>
      <c r="D304" s="2"/>
      <c r="E304" s="2"/>
      <c r="F304" s="2"/>
      <c r="U304" s="2"/>
    </row>
    <row r="305" spans="1:21">
      <c r="A305" s="2"/>
      <c r="B305" s="2"/>
      <c r="C305" s="2"/>
      <c r="D305" s="2"/>
      <c r="E305" s="2"/>
      <c r="F305" s="2"/>
      <c r="U305" s="2"/>
    </row>
    <row r="306" spans="1:21">
      <c r="A306" s="2"/>
      <c r="B306" s="2"/>
      <c r="C306" s="2"/>
      <c r="D306" s="2"/>
      <c r="E306" s="2"/>
      <c r="F306" s="2"/>
      <c r="U306" s="2"/>
    </row>
    <row r="307" spans="1:21">
      <c r="A307" s="2"/>
      <c r="B307" s="2"/>
      <c r="C307" s="2"/>
      <c r="D307" s="2"/>
      <c r="E307" s="2"/>
      <c r="F307" s="2"/>
      <c r="U307" s="2"/>
    </row>
    <row r="308" spans="1:21">
      <c r="A308" s="2"/>
      <c r="B308" s="2"/>
      <c r="C308" s="2"/>
      <c r="D308" s="2"/>
      <c r="E308" s="2"/>
      <c r="F308" s="2"/>
      <c r="U308" s="2"/>
    </row>
    <row r="309" spans="1:21">
      <c r="A309" s="2"/>
      <c r="B309" s="2"/>
      <c r="C309" s="2"/>
      <c r="D309" s="2"/>
      <c r="E309" s="2"/>
      <c r="F309" s="2"/>
      <c r="U309" s="2"/>
    </row>
    <row r="310" spans="1:21">
      <c r="A310" s="2"/>
      <c r="B310" s="2"/>
      <c r="C310" s="2"/>
      <c r="D310" s="2"/>
      <c r="E310" s="2"/>
      <c r="F310" s="2"/>
      <c r="U310" s="2"/>
    </row>
    <row r="311" spans="1:21">
      <c r="A311" s="2"/>
      <c r="B311" s="2"/>
      <c r="C311" s="2"/>
      <c r="D311" s="2"/>
      <c r="E311" s="2"/>
      <c r="F311" s="2"/>
      <c r="U311" s="2"/>
    </row>
    <row r="312" spans="1:21">
      <c r="A312" s="2"/>
      <c r="B312" s="2"/>
      <c r="C312" s="2"/>
      <c r="D312" s="2"/>
      <c r="E312" s="2"/>
      <c r="F312" s="2"/>
      <c r="U312" s="2"/>
    </row>
    <row r="313" spans="1:21">
      <c r="A313" s="2"/>
      <c r="B313" s="2"/>
      <c r="C313" s="2"/>
      <c r="D313" s="2"/>
      <c r="E313" s="2"/>
      <c r="F313" s="2"/>
      <c r="U313" s="2"/>
    </row>
    <row r="314" spans="1:21">
      <c r="A314" s="2"/>
      <c r="B314" s="2"/>
      <c r="C314" s="2"/>
      <c r="D314" s="2"/>
      <c r="E314" s="2"/>
      <c r="F314" s="2"/>
      <c r="U314" s="2"/>
    </row>
    <row r="315" spans="1:21">
      <c r="A315" s="2"/>
      <c r="B315" s="2"/>
      <c r="C315" s="2"/>
      <c r="D315" s="2"/>
      <c r="E315" s="2"/>
      <c r="F315" s="2"/>
      <c r="U315" s="2"/>
    </row>
    <row r="316" spans="1:21">
      <c r="A316" s="2"/>
      <c r="B316" s="2"/>
      <c r="C316" s="2"/>
      <c r="D316" s="2"/>
      <c r="E316" s="2"/>
      <c r="F316" s="2"/>
      <c r="U316" s="2"/>
    </row>
    <row r="317" spans="1:21">
      <c r="A317" s="2"/>
      <c r="B317" s="2"/>
      <c r="C317" s="2"/>
      <c r="D317" s="2"/>
      <c r="E317" s="2"/>
      <c r="F317" s="2"/>
      <c r="U317" s="2"/>
    </row>
    <row r="318" spans="1:21">
      <c r="A318" s="2"/>
      <c r="B318" s="2"/>
      <c r="C318" s="2"/>
      <c r="D318" s="2"/>
      <c r="E318" s="2"/>
      <c r="F318" s="2"/>
      <c r="U318" s="2"/>
    </row>
    <row r="319" spans="1:21">
      <c r="A319" s="2"/>
      <c r="B319" s="2"/>
      <c r="C319" s="2"/>
      <c r="D319" s="2"/>
      <c r="E319" s="2"/>
      <c r="F319" s="2"/>
      <c r="U319" s="2"/>
    </row>
    <row r="320" spans="1:21">
      <c r="A320" s="2"/>
      <c r="B320" s="2"/>
      <c r="C320" s="2"/>
      <c r="D320" s="2"/>
      <c r="E320" s="2"/>
      <c r="F320" s="2"/>
      <c r="U320" s="2"/>
    </row>
    <row r="321" spans="1:21">
      <c r="A321" s="2"/>
      <c r="B321" s="2"/>
      <c r="C321" s="2"/>
      <c r="D321" s="2"/>
      <c r="E321" s="2"/>
      <c r="F321" s="2"/>
      <c r="U321" s="2"/>
    </row>
    <row r="322" spans="1:21">
      <c r="A322" s="2"/>
      <c r="B322" s="2"/>
      <c r="C322" s="2"/>
      <c r="D322" s="2"/>
      <c r="E322" s="2"/>
      <c r="F322" s="2"/>
      <c r="U322" s="2"/>
    </row>
    <row r="323" spans="1:21">
      <c r="A323" s="2"/>
      <c r="B323" s="2"/>
      <c r="C323" s="2"/>
      <c r="D323" s="2"/>
      <c r="E323" s="2"/>
      <c r="F323" s="2"/>
      <c r="U323" s="2"/>
    </row>
    <row r="324" spans="1:21">
      <c r="A324" s="2"/>
      <c r="B324" s="2"/>
      <c r="C324" s="2"/>
      <c r="D324" s="2"/>
      <c r="E324" s="2"/>
      <c r="F324" s="2"/>
      <c r="U324" s="2"/>
    </row>
    <row r="325" spans="1:21">
      <c r="A325" s="2"/>
      <c r="B325" s="2"/>
      <c r="C325" s="2"/>
      <c r="D325" s="2"/>
      <c r="E325" s="2"/>
      <c r="F325" s="2"/>
      <c r="U325" s="2"/>
    </row>
    <row r="326" spans="1:21">
      <c r="A326" s="2"/>
      <c r="B326" s="2"/>
      <c r="C326" s="2"/>
      <c r="D326" s="2"/>
      <c r="E326" s="2"/>
      <c r="F326" s="2"/>
      <c r="U326" s="2"/>
    </row>
    <row r="327" spans="1:21">
      <c r="A327" s="2"/>
      <c r="B327" s="2"/>
      <c r="C327" s="2"/>
      <c r="D327" s="2"/>
      <c r="E327" s="2"/>
      <c r="F327" s="2"/>
      <c r="U327" s="2"/>
    </row>
    <row r="328" spans="1:21">
      <c r="A328" s="2"/>
      <c r="B328" s="2"/>
      <c r="C328" s="2"/>
      <c r="D328" s="2"/>
      <c r="E328" s="2"/>
      <c r="F328" s="2"/>
      <c r="U328" s="2"/>
    </row>
    <row r="329" spans="1:21">
      <c r="A329" s="2"/>
      <c r="B329" s="2"/>
      <c r="C329" s="2"/>
      <c r="D329" s="2"/>
      <c r="E329" s="2"/>
      <c r="F329" s="2"/>
      <c r="U329" s="2"/>
    </row>
    <row r="330" spans="1:21">
      <c r="A330" s="2"/>
      <c r="B330" s="2"/>
      <c r="C330" s="2"/>
      <c r="D330" s="2"/>
      <c r="E330" s="2"/>
      <c r="F330" s="2"/>
      <c r="U330" s="2"/>
    </row>
    <row r="331" spans="1:21">
      <c r="A331" s="2"/>
      <c r="B331" s="2"/>
      <c r="C331" s="2"/>
      <c r="D331" s="2"/>
      <c r="E331" s="2"/>
      <c r="F331" s="2"/>
      <c r="U331" s="2"/>
    </row>
    <row r="332" spans="1:21">
      <c r="A332" s="2"/>
      <c r="B332" s="2"/>
      <c r="C332" s="2"/>
      <c r="D332" s="2"/>
      <c r="E332" s="2"/>
      <c r="F332" s="2"/>
      <c r="U332" s="2"/>
    </row>
    <row r="333" spans="1:21">
      <c r="A333" s="2"/>
      <c r="B333" s="2"/>
      <c r="C333" s="2"/>
      <c r="D333" s="2"/>
      <c r="E333" s="2"/>
      <c r="F333" s="2"/>
      <c r="U333" s="2"/>
    </row>
    <row r="334" spans="1:21">
      <c r="A334" s="2"/>
      <c r="B334" s="2"/>
      <c r="C334" s="2"/>
      <c r="D334" s="2"/>
      <c r="E334" s="2"/>
      <c r="F334" s="2"/>
      <c r="U334" s="2"/>
    </row>
    <row r="335" spans="1:21">
      <c r="A335" s="2"/>
      <c r="B335" s="2"/>
      <c r="C335" s="2"/>
      <c r="D335" s="2"/>
      <c r="E335" s="2"/>
      <c r="F335" s="2"/>
      <c r="U335" s="2"/>
    </row>
    <row r="336" spans="1:21">
      <c r="A336" s="2"/>
      <c r="B336" s="2"/>
      <c r="C336" s="2"/>
      <c r="D336" s="2"/>
      <c r="E336" s="2"/>
      <c r="F336" s="2"/>
      <c r="U336" s="2"/>
    </row>
    <row r="337" spans="1:21">
      <c r="A337" s="2"/>
      <c r="B337" s="2"/>
      <c r="C337" s="2"/>
      <c r="D337" s="2"/>
      <c r="E337" s="2"/>
      <c r="F337" s="2"/>
      <c r="U337" s="2"/>
    </row>
    <row r="338" spans="1:21">
      <c r="A338" s="2"/>
      <c r="B338" s="2"/>
      <c r="C338" s="2"/>
      <c r="D338" s="2"/>
      <c r="E338" s="2"/>
      <c r="F338" s="2"/>
      <c r="U338" s="2"/>
    </row>
    <row r="339" spans="1:21">
      <c r="A339" s="2"/>
      <c r="B339" s="2"/>
      <c r="C339" s="2"/>
      <c r="D339" s="2"/>
      <c r="E339" s="2"/>
      <c r="F339" s="2"/>
      <c r="U339" s="2"/>
    </row>
    <row r="340" spans="1:21">
      <c r="A340" s="2"/>
      <c r="B340" s="2"/>
      <c r="C340" s="2"/>
      <c r="D340" s="2"/>
      <c r="E340" s="2"/>
      <c r="F340" s="2"/>
      <c r="U340" s="2"/>
    </row>
    <row r="341" spans="1:21">
      <c r="A341" s="2"/>
      <c r="B341" s="2"/>
      <c r="C341" s="2"/>
      <c r="D341" s="2"/>
      <c r="E341" s="2"/>
      <c r="F341" s="2"/>
      <c r="U341" s="2"/>
    </row>
    <row r="342" spans="1:21">
      <c r="A342" s="2"/>
      <c r="B342" s="2"/>
      <c r="C342" s="2"/>
      <c r="D342" s="2"/>
      <c r="E342" s="2"/>
      <c r="F342" s="2"/>
      <c r="U342" s="2"/>
    </row>
    <row r="343" spans="1:21">
      <c r="A343" s="2"/>
      <c r="B343" s="2"/>
      <c r="C343" s="2"/>
      <c r="D343" s="2"/>
      <c r="E343" s="2"/>
      <c r="F343" s="2"/>
      <c r="U343" s="2"/>
    </row>
    <row r="344" spans="1:21">
      <c r="A344" s="2"/>
      <c r="B344" s="2"/>
      <c r="C344" s="2"/>
      <c r="D344" s="2"/>
      <c r="E344" s="2"/>
      <c r="F344" s="2"/>
      <c r="U344" s="2"/>
    </row>
    <row r="345" spans="1:21">
      <c r="A345" s="2"/>
      <c r="B345" s="2"/>
      <c r="C345" s="2"/>
      <c r="D345" s="2"/>
      <c r="E345" s="2"/>
      <c r="F345" s="2"/>
      <c r="U345" s="2"/>
    </row>
    <row r="346" spans="1:21">
      <c r="A346" s="2"/>
      <c r="B346" s="2"/>
      <c r="C346" s="2"/>
      <c r="D346" s="2"/>
      <c r="E346" s="2"/>
      <c r="F346" s="2"/>
      <c r="U346" s="2"/>
    </row>
    <row r="347" spans="1:21">
      <c r="A347" s="2"/>
      <c r="B347" s="2"/>
      <c r="C347" s="2"/>
      <c r="D347" s="2"/>
      <c r="E347" s="2"/>
      <c r="F347" s="2"/>
      <c r="U347" s="2"/>
    </row>
    <row r="348" spans="1:21">
      <c r="A348" s="2"/>
      <c r="B348" s="2"/>
      <c r="C348" s="2"/>
      <c r="D348" s="2"/>
      <c r="E348" s="2"/>
      <c r="F348" s="2"/>
      <c r="U348" s="2"/>
    </row>
    <row r="349" spans="1:21">
      <c r="A349" s="2"/>
      <c r="B349" s="2"/>
      <c r="C349" s="2"/>
      <c r="D349" s="2"/>
      <c r="E349" s="2"/>
      <c r="F349" s="2"/>
      <c r="U349" s="2"/>
    </row>
    <row r="350" spans="1:21">
      <c r="A350" s="2"/>
      <c r="B350" s="2"/>
      <c r="C350" s="2"/>
      <c r="D350" s="2"/>
      <c r="E350" s="2"/>
      <c r="F350" s="2"/>
      <c r="U350" s="2"/>
    </row>
    <row r="351" spans="1:21">
      <c r="A351" s="2"/>
      <c r="B351" s="2"/>
      <c r="C351" s="2"/>
      <c r="D351" s="2"/>
      <c r="E351" s="2"/>
      <c r="F351" s="2"/>
      <c r="U351" s="2"/>
    </row>
    <row r="352" spans="1:21">
      <c r="A352" s="2"/>
      <c r="B352" s="2"/>
      <c r="C352" s="2"/>
      <c r="D352" s="2"/>
      <c r="E352" s="2"/>
      <c r="F352" s="2"/>
      <c r="U352" s="2"/>
    </row>
    <row r="353" spans="1:21">
      <c r="A353" s="2"/>
      <c r="B353" s="2"/>
      <c r="C353" s="2"/>
      <c r="D353" s="2"/>
      <c r="E353" s="2"/>
      <c r="F353" s="2"/>
      <c r="U353" s="2"/>
    </row>
    <row r="354" spans="1:21">
      <c r="A354" s="2"/>
      <c r="B354" s="2"/>
      <c r="C354" s="2"/>
      <c r="D354" s="2"/>
      <c r="E354" s="2"/>
      <c r="F354" s="2"/>
      <c r="U354" s="2"/>
    </row>
    <row r="355" spans="1:21">
      <c r="A355" s="2"/>
      <c r="B355" s="2"/>
      <c r="C355" s="2"/>
      <c r="D355" s="2"/>
      <c r="E355" s="2"/>
      <c r="F355" s="2"/>
      <c r="U355" s="2"/>
    </row>
    <row r="356" spans="1:21">
      <c r="A356" s="2"/>
      <c r="B356" s="2"/>
      <c r="C356" s="2"/>
      <c r="D356" s="2"/>
      <c r="E356" s="2"/>
      <c r="F356" s="2"/>
      <c r="U356" s="2"/>
    </row>
    <row r="357" spans="1:21">
      <c r="A357" s="2"/>
      <c r="B357" s="2"/>
      <c r="C357" s="2"/>
      <c r="D357" s="2"/>
      <c r="E357" s="2"/>
      <c r="F357" s="2"/>
      <c r="U357" s="2"/>
    </row>
    <row r="358" spans="1:21">
      <c r="A358" s="2"/>
      <c r="B358" s="2"/>
      <c r="C358" s="2"/>
      <c r="D358" s="2"/>
      <c r="E358" s="2"/>
      <c r="F358" s="2"/>
      <c r="U358" s="2"/>
    </row>
    <row r="359" spans="1:21">
      <c r="A359" s="2"/>
      <c r="B359" s="2"/>
      <c r="C359" s="2"/>
      <c r="D359" s="2"/>
      <c r="E359" s="2"/>
      <c r="F359" s="2"/>
      <c r="U359" s="2"/>
    </row>
    <row r="360" spans="1:21">
      <c r="A360" s="2"/>
      <c r="B360" s="2"/>
      <c r="C360" s="2"/>
      <c r="D360" s="2"/>
      <c r="E360" s="2"/>
      <c r="F360" s="2"/>
      <c r="U360" s="2"/>
    </row>
    <row r="361" spans="1:21">
      <c r="A361" s="2"/>
      <c r="B361" s="2"/>
      <c r="C361" s="2"/>
      <c r="D361" s="2"/>
      <c r="E361" s="2"/>
      <c r="F361" s="2"/>
      <c r="U361" s="2"/>
    </row>
    <row r="362" spans="1:21">
      <c r="A362" s="2"/>
      <c r="B362" s="2"/>
      <c r="C362" s="2"/>
      <c r="D362" s="2"/>
      <c r="E362" s="2"/>
      <c r="F362" s="2"/>
      <c r="U362" s="2"/>
    </row>
    <row r="363" spans="1:21">
      <c r="A363" s="2"/>
      <c r="B363" s="2"/>
      <c r="C363" s="2"/>
      <c r="D363" s="2"/>
      <c r="E363" s="2"/>
      <c r="F363" s="2"/>
      <c r="U363" s="2"/>
    </row>
    <row r="364" spans="1:21">
      <c r="A364" s="2"/>
      <c r="B364" s="2"/>
      <c r="C364" s="2"/>
      <c r="D364" s="2"/>
      <c r="E364" s="2"/>
      <c r="F364" s="2"/>
      <c r="U364" s="2"/>
    </row>
    <row r="365" spans="1:21">
      <c r="A365" s="2"/>
      <c r="B365" s="2"/>
      <c r="C365" s="2"/>
      <c r="D365" s="2"/>
      <c r="E365" s="2"/>
      <c r="F365" s="2"/>
      <c r="U365" s="2"/>
    </row>
    <row r="366" spans="1:21">
      <c r="A366" s="2"/>
      <c r="B366" s="2"/>
      <c r="C366" s="2"/>
      <c r="D366" s="2"/>
      <c r="E366" s="2"/>
      <c r="F366" s="2"/>
      <c r="U366" s="2"/>
    </row>
    <row r="367" spans="1:21">
      <c r="A367" s="2"/>
      <c r="B367" s="2"/>
      <c r="C367" s="2"/>
      <c r="D367" s="2"/>
      <c r="E367" s="2"/>
      <c r="F367" s="2"/>
      <c r="U367" s="2"/>
    </row>
    <row r="368" spans="1:21">
      <c r="A368" s="2"/>
      <c r="B368" s="2"/>
      <c r="C368" s="2"/>
      <c r="D368" s="2"/>
      <c r="E368" s="2"/>
      <c r="F368" s="2"/>
      <c r="U368" s="2"/>
    </row>
    <row r="369" spans="1:21">
      <c r="A369" s="2"/>
      <c r="B369" s="2"/>
      <c r="C369" s="2"/>
      <c r="D369" s="2"/>
      <c r="E369" s="2"/>
      <c r="F369" s="2"/>
      <c r="U369" s="2"/>
    </row>
    <row r="370" spans="1:21">
      <c r="A370" s="2"/>
      <c r="B370" s="2"/>
      <c r="C370" s="2"/>
      <c r="D370" s="2"/>
      <c r="E370" s="2"/>
      <c r="F370" s="2"/>
      <c r="U370" s="2"/>
    </row>
    <row r="371" spans="1:21">
      <c r="A371" s="2"/>
      <c r="B371" s="2"/>
      <c r="C371" s="2"/>
      <c r="D371" s="2"/>
      <c r="E371" s="2"/>
      <c r="F371" s="2"/>
      <c r="U371" s="2"/>
    </row>
    <row r="372" spans="1:21">
      <c r="A372" s="2"/>
      <c r="B372" s="2"/>
      <c r="C372" s="2"/>
      <c r="D372" s="2"/>
      <c r="E372" s="2"/>
      <c r="F372" s="2"/>
      <c r="U372" s="2"/>
    </row>
    <row r="373" spans="1:21">
      <c r="A373" s="2"/>
      <c r="B373" s="2"/>
      <c r="C373" s="2"/>
      <c r="D373" s="2"/>
      <c r="E373" s="2"/>
      <c r="F373" s="2"/>
      <c r="U373" s="2"/>
    </row>
    <row r="374" spans="1:21">
      <c r="A374" s="2"/>
      <c r="B374" s="2"/>
      <c r="C374" s="2"/>
      <c r="D374" s="2"/>
      <c r="E374" s="2"/>
      <c r="F374" s="2"/>
      <c r="U374" s="2"/>
    </row>
    <row r="375" spans="1:21">
      <c r="A375" s="2"/>
      <c r="B375" s="2"/>
      <c r="C375" s="2"/>
      <c r="D375" s="2"/>
      <c r="E375" s="2"/>
      <c r="F375" s="2"/>
      <c r="U375" s="2"/>
    </row>
    <row r="376" spans="1:21">
      <c r="A376" s="2"/>
      <c r="B376" s="2"/>
      <c r="C376" s="2"/>
      <c r="D376" s="2"/>
      <c r="E376" s="2"/>
      <c r="F376" s="2"/>
      <c r="U376" s="2"/>
    </row>
    <row r="377" spans="1:21">
      <c r="A377" s="2"/>
      <c r="B377" s="2"/>
      <c r="C377" s="2"/>
      <c r="D377" s="2"/>
      <c r="E377" s="2"/>
      <c r="F377" s="2"/>
      <c r="U377" s="2"/>
    </row>
    <row r="378" spans="1:21">
      <c r="A378" s="2"/>
      <c r="B378" s="2"/>
      <c r="C378" s="2"/>
      <c r="D378" s="2"/>
      <c r="E378" s="2"/>
      <c r="F378" s="2"/>
      <c r="U378" s="2"/>
    </row>
    <row r="379" spans="1:21">
      <c r="A379" s="2"/>
      <c r="B379" s="2"/>
      <c r="C379" s="2"/>
      <c r="D379" s="2"/>
      <c r="E379" s="2"/>
      <c r="F379" s="2"/>
      <c r="U379" s="2"/>
    </row>
    <row r="380" spans="1:21">
      <c r="A380" s="2"/>
      <c r="B380" s="2"/>
      <c r="C380" s="2"/>
      <c r="D380" s="2"/>
      <c r="E380" s="2"/>
      <c r="F380" s="2"/>
      <c r="U380" s="2"/>
    </row>
    <row r="381" spans="1:21">
      <c r="A381" s="2"/>
      <c r="B381" s="2"/>
      <c r="C381" s="2"/>
      <c r="D381" s="2"/>
      <c r="E381" s="2"/>
      <c r="F381" s="2"/>
      <c r="U381" s="2"/>
    </row>
    <row r="382" spans="1:21">
      <c r="A382" s="2"/>
      <c r="B382" s="2"/>
      <c r="C382" s="2"/>
      <c r="D382" s="2"/>
      <c r="E382" s="2"/>
      <c r="F382" s="2"/>
      <c r="U382" s="2"/>
    </row>
    <row r="383" spans="1:21">
      <c r="A383" s="2"/>
      <c r="B383" s="2"/>
      <c r="C383" s="2"/>
      <c r="D383" s="2"/>
      <c r="E383" s="2"/>
      <c r="F383" s="2"/>
      <c r="U383" s="2"/>
    </row>
    <row r="384" spans="1:21">
      <c r="A384" s="2"/>
      <c r="B384" s="2"/>
      <c r="C384" s="2"/>
      <c r="D384" s="2"/>
      <c r="E384" s="2"/>
      <c r="F384" s="2"/>
      <c r="U384" s="2"/>
    </row>
    <row r="385" spans="1:21">
      <c r="A385" s="2"/>
      <c r="B385" s="2"/>
      <c r="C385" s="2"/>
      <c r="D385" s="2"/>
      <c r="E385" s="2"/>
      <c r="F385" s="2"/>
      <c r="U385" s="2"/>
    </row>
    <row r="386" spans="1:21">
      <c r="A386" s="2"/>
      <c r="B386" s="2"/>
      <c r="C386" s="2"/>
      <c r="D386" s="2"/>
      <c r="E386" s="2"/>
      <c r="F386" s="2"/>
      <c r="U386" s="2"/>
    </row>
    <row r="387" spans="1:21">
      <c r="A387" s="2"/>
      <c r="B387" s="2"/>
      <c r="C387" s="2"/>
      <c r="D387" s="2"/>
      <c r="E387" s="2"/>
      <c r="F387" s="2"/>
      <c r="U387" s="2"/>
    </row>
    <row r="388" spans="1:21">
      <c r="A388" s="2"/>
      <c r="B388" s="2"/>
      <c r="C388" s="2"/>
      <c r="D388" s="2"/>
      <c r="E388" s="2"/>
      <c r="F388" s="2"/>
      <c r="U388" s="2"/>
    </row>
    <row r="389" spans="1:21">
      <c r="A389" s="2"/>
      <c r="B389" s="2"/>
      <c r="C389" s="2"/>
      <c r="D389" s="2"/>
      <c r="E389" s="2"/>
      <c r="F389" s="2"/>
      <c r="U389" s="2"/>
    </row>
    <row r="390" spans="1:21">
      <c r="A390" s="2"/>
      <c r="B390" s="2"/>
      <c r="C390" s="2"/>
      <c r="D390" s="2"/>
      <c r="E390" s="2"/>
      <c r="F390" s="2"/>
      <c r="U390" s="2"/>
    </row>
    <row r="391" spans="1:21">
      <c r="A391" s="2"/>
      <c r="B391" s="2"/>
      <c r="C391" s="2"/>
      <c r="D391" s="2"/>
      <c r="E391" s="2"/>
      <c r="F391" s="2"/>
      <c r="U391" s="2"/>
    </row>
    <row r="392" spans="1:21">
      <c r="A392" s="2"/>
      <c r="B392" s="2"/>
      <c r="C392" s="2"/>
      <c r="D392" s="2"/>
      <c r="E392" s="2"/>
      <c r="F392" s="2"/>
      <c r="U392" s="2"/>
    </row>
    <row r="393" spans="1:21">
      <c r="A393" s="2"/>
      <c r="B393" s="2"/>
      <c r="C393" s="2"/>
      <c r="D393" s="2"/>
      <c r="E393" s="2"/>
      <c r="F393" s="2"/>
      <c r="U393" s="2"/>
    </row>
    <row r="394" spans="1:21">
      <c r="A394" s="2"/>
      <c r="B394" s="2"/>
      <c r="C394" s="2"/>
      <c r="D394" s="2"/>
      <c r="E394" s="2"/>
      <c r="F394" s="2"/>
      <c r="U394" s="2"/>
    </row>
    <row r="395" spans="1:21">
      <c r="A395" s="2"/>
      <c r="B395" s="2"/>
      <c r="C395" s="2"/>
      <c r="D395" s="2"/>
      <c r="E395" s="2"/>
      <c r="F395" s="2"/>
      <c r="U395" s="2"/>
    </row>
    <row r="396" spans="1:21">
      <c r="A396" s="2"/>
      <c r="B396" s="2"/>
      <c r="C396" s="2"/>
      <c r="D396" s="2"/>
      <c r="E396" s="2"/>
      <c r="F396" s="2"/>
      <c r="U396" s="2"/>
    </row>
    <row r="397" spans="1:21">
      <c r="A397" s="2"/>
      <c r="B397" s="2"/>
      <c r="C397" s="2"/>
      <c r="D397" s="2"/>
      <c r="E397" s="2"/>
      <c r="F397" s="2"/>
      <c r="U397" s="2"/>
    </row>
    <row r="398" spans="1:21">
      <c r="A398" s="2"/>
      <c r="B398" s="2"/>
      <c r="C398" s="2"/>
      <c r="D398" s="2"/>
      <c r="E398" s="2"/>
      <c r="F398" s="2"/>
      <c r="U398" s="2"/>
    </row>
    <row r="399" spans="1:21">
      <c r="A399" s="2"/>
      <c r="B399" s="2"/>
      <c r="C399" s="2"/>
      <c r="D399" s="2"/>
      <c r="E399" s="2"/>
      <c r="F399" s="2"/>
      <c r="U399" s="2"/>
    </row>
    <row r="400" spans="1:21">
      <c r="A400" s="2"/>
      <c r="B400" s="2"/>
      <c r="C400" s="2"/>
      <c r="D400" s="2"/>
      <c r="E400" s="2"/>
      <c r="F400" s="2"/>
      <c r="U400" s="2"/>
    </row>
    <row r="401" spans="1:21">
      <c r="A401" s="2"/>
      <c r="B401" s="2"/>
      <c r="C401" s="2"/>
      <c r="D401" s="2"/>
      <c r="E401" s="2"/>
      <c r="F401" s="2"/>
      <c r="U401" s="2"/>
    </row>
    <row r="402" spans="1:21">
      <c r="A402" s="2"/>
      <c r="B402" s="2"/>
      <c r="C402" s="2"/>
      <c r="D402" s="2"/>
      <c r="E402" s="2"/>
      <c r="F402" s="2"/>
      <c r="U402" s="2"/>
    </row>
    <row r="403" spans="1:21">
      <c r="A403" s="2"/>
      <c r="B403" s="2"/>
      <c r="C403" s="2"/>
      <c r="D403" s="2"/>
      <c r="E403" s="2"/>
      <c r="F403" s="2"/>
      <c r="U403" s="2"/>
    </row>
    <row r="404" spans="1:21">
      <c r="A404" s="2"/>
      <c r="B404" s="2"/>
      <c r="C404" s="2"/>
      <c r="D404" s="2"/>
      <c r="E404" s="2"/>
      <c r="F404" s="2"/>
      <c r="U404" s="2"/>
    </row>
    <row r="405" spans="1:21">
      <c r="A405" s="2"/>
      <c r="B405" s="2"/>
      <c r="C405" s="2"/>
      <c r="D405" s="2"/>
      <c r="E405" s="2"/>
      <c r="F405" s="2"/>
      <c r="U405" s="2"/>
    </row>
    <row r="406" spans="1:21">
      <c r="A406" s="2"/>
      <c r="B406" s="2"/>
      <c r="C406" s="2"/>
      <c r="D406" s="2"/>
      <c r="E406" s="2"/>
      <c r="F406" s="2"/>
      <c r="U406" s="2"/>
    </row>
    <row r="407" spans="1:21">
      <c r="A407" s="2"/>
      <c r="B407" s="2"/>
      <c r="C407" s="2"/>
      <c r="D407" s="2"/>
      <c r="E407" s="2"/>
      <c r="F407" s="2"/>
      <c r="U407" s="2"/>
    </row>
    <row r="408" spans="1:21">
      <c r="A408" s="2"/>
      <c r="B408" s="2"/>
      <c r="C408" s="2"/>
      <c r="D408" s="2"/>
      <c r="E408" s="2"/>
      <c r="F408" s="2"/>
      <c r="U408" s="2"/>
    </row>
    <row r="409" spans="1:21">
      <c r="A409" s="2"/>
      <c r="B409" s="2"/>
      <c r="C409" s="2"/>
      <c r="D409" s="2"/>
      <c r="E409" s="2"/>
      <c r="F409" s="2"/>
      <c r="U409" s="2"/>
    </row>
    <row r="410" spans="1:21">
      <c r="A410" s="2"/>
      <c r="B410" s="2"/>
      <c r="C410" s="2"/>
      <c r="D410" s="2"/>
      <c r="E410" s="2"/>
      <c r="F410" s="2"/>
      <c r="U410" s="2"/>
    </row>
    <row r="411" spans="1:21">
      <c r="A411" s="2"/>
      <c r="B411" s="2"/>
      <c r="C411" s="2"/>
      <c r="D411" s="2"/>
      <c r="E411" s="2"/>
      <c r="F411" s="2"/>
      <c r="U411" s="2"/>
    </row>
    <row r="412" spans="1:21">
      <c r="A412" s="2"/>
      <c r="B412" s="2"/>
      <c r="C412" s="2"/>
      <c r="D412" s="2"/>
      <c r="E412" s="2"/>
      <c r="F412" s="2"/>
      <c r="U412" s="2"/>
    </row>
    <row r="413" spans="1:21">
      <c r="A413" s="2"/>
      <c r="B413" s="2"/>
      <c r="C413" s="2"/>
      <c r="D413" s="2"/>
      <c r="E413" s="2"/>
      <c r="F413" s="2"/>
      <c r="U413" s="2"/>
    </row>
    <row r="414" spans="1:21">
      <c r="A414" s="2"/>
      <c r="B414" s="2"/>
      <c r="C414" s="2"/>
      <c r="D414" s="2"/>
      <c r="E414" s="2"/>
      <c r="F414" s="2"/>
      <c r="U414" s="2"/>
    </row>
    <row r="415" spans="1:21">
      <c r="A415" s="2"/>
      <c r="B415" s="2"/>
      <c r="C415" s="2"/>
      <c r="D415" s="2"/>
      <c r="E415" s="2"/>
      <c r="F415" s="2"/>
      <c r="U415" s="2"/>
    </row>
    <row r="416" spans="1:21">
      <c r="A416" s="2"/>
      <c r="B416" s="2"/>
      <c r="C416" s="2"/>
      <c r="D416" s="2"/>
      <c r="E416" s="2"/>
      <c r="F416" s="2"/>
      <c r="U416" s="2"/>
    </row>
    <row r="417" spans="1:21">
      <c r="A417" s="2"/>
      <c r="B417" s="2"/>
      <c r="C417" s="2"/>
      <c r="D417" s="2"/>
      <c r="E417" s="2"/>
      <c r="F417" s="2"/>
      <c r="U417" s="2"/>
    </row>
    <row r="418" spans="1:21">
      <c r="A418" s="2"/>
      <c r="B418" s="2"/>
      <c r="C418" s="2"/>
      <c r="D418" s="2"/>
      <c r="E418" s="2"/>
      <c r="F418" s="2"/>
      <c r="U418" s="2"/>
    </row>
    <row r="419" spans="1:21">
      <c r="A419" s="2"/>
      <c r="B419" s="2"/>
      <c r="C419" s="2"/>
      <c r="D419" s="2"/>
      <c r="E419" s="2"/>
      <c r="F419" s="2"/>
      <c r="U419" s="2"/>
    </row>
    <row r="420" spans="1:21">
      <c r="A420" s="2"/>
      <c r="B420" s="2"/>
      <c r="C420" s="2"/>
      <c r="D420" s="2"/>
      <c r="E420" s="2"/>
      <c r="F420" s="2"/>
      <c r="U420" s="2"/>
    </row>
    <row r="421" spans="1:21">
      <c r="A421" s="2"/>
      <c r="B421" s="2"/>
      <c r="C421" s="2"/>
      <c r="D421" s="2"/>
      <c r="E421" s="2"/>
      <c r="F421" s="2"/>
      <c r="U421" s="2"/>
    </row>
    <row r="422" spans="1:21">
      <c r="A422" s="2"/>
      <c r="B422" s="2"/>
      <c r="C422" s="2"/>
      <c r="D422" s="2"/>
      <c r="E422" s="2"/>
      <c r="F422" s="2"/>
      <c r="U422" s="2"/>
    </row>
    <row r="423" spans="1:21">
      <c r="A423" s="2"/>
      <c r="B423" s="2"/>
      <c r="C423" s="2"/>
      <c r="D423" s="2"/>
      <c r="E423" s="2"/>
      <c r="F423" s="2"/>
      <c r="U423" s="2"/>
    </row>
    <row r="424" spans="1:21">
      <c r="A424" s="2"/>
      <c r="B424" s="2"/>
      <c r="C424" s="2"/>
      <c r="D424" s="2"/>
      <c r="E424" s="2"/>
      <c r="F424" s="2"/>
      <c r="U424" s="2"/>
    </row>
    <row r="425" spans="1:21">
      <c r="A425" s="2"/>
      <c r="B425" s="2"/>
      <c r="C425" s="2"/>
      <c r="D425" s="2"/>
      <c r="E425" s="2"/>
      <c r="F425" s="2"/>
      <c r="U425" s="2"/>
    </row>
    <row r="426" spans="1:21">
      <c r="A426" s="2"/>
      <c r="B426" s="2"/>
      <c r="C426" s="2"/>
      <c r="D426" s="2"/>
      <c r="E426" s="2"/>
      <c r="F426" s="2"/>
      <c r="U426" s="2"/>
    </row>
    <row r="427" spans="1:21">
      <c r="A427" s="2"/>
      <c r="B427" s="2"/>
      <c r="C427" s="2"/>
      <c r="D427" s="2"/>
      <c r="E427" s="2"/>
      <c r="F427" s="2"/>
      <c r="U427" s="2"/>
    </row>
    <row r="428" spans="1:21">
      <c r="A428" s="2"/>
      <c r="B428" s="2"/>
      <c r="C428" s="2"/>
      <c r="D428" s="2"/>
      <c r="E428" s="2"/>
      <c r="F428" s="2"/>
      <c r="U428" s="2"/>
    </row>
    <row r="429" spans="1:21">
      <c r="A429" s="2"/>
      <c r="B429" s="2"/>
      <c r="C429" s="2"/>
      <c r="D429" s="2"/>
      <c r="E429" s="2"/>
      <c r="F429" s="2"/>
      <c r="U429" s="2"/>
    </row>
    <row r="430" spans="1:21">
      <c r="A430" s="2"/>
      <c r="B430" s="2"/>
      <c r="C430" s="2"/>
      <c r="D430" s="2"/>
      <c r="E430" s="2"/>
      <c r="F430" s="2"/>
      <c r="U430" s="2"/>
    </row>
    <row r="431" spans="1:21">
      <c r="A431" s="2"/>
      <c r="B431" s="2"/>
      <c r="C431" s="2"/>
      <c r="D431" s="2"/>
      <c r="E431" s="2"/>
      <c r="F431" s="2"/>
      <c r="U431" s="2"/>
    </row>
    <row r="432" spans="1:21">
      <c r="A432" s="2"/>
      <c r="B432" s="2"/>
      <c r="C432" s="2"/>
      <c r="D432" s="2"/>
      <c r="E432" s="2"/>
      <c r="F432" s="2"/>
      <c r="U432" s="2"/>
    </row>
    <row r="433" spans="1:23">
      <c r="A433" s="2"/>
      <c r="B433" s="2"/>
      <c r="C433" s="2"/>
      <c r="D433" s="2"/>
      <c r="E433" s="2"/>
      <c r="F433" s="2"/>
      <c r="U433" s="2"/>
    </row>
    <row r="434" spans="1:23">
      <c r="A434" s="2"/>
      <c r="B434" s="2"/>
      <c r="C434" s="2"/>
      <c r="D434" s="2"/>
      <c r="E434" s="2"/>
      <c r="F434" s="2"/>
      <c r="U434" s="2"/>
    </row>
    <row r="435" spans="1:23">
      <c r="A435" s="2"/>
      <c r="B435" s="2"/>
      <c r="C435" s="2"/>
      <c r="D435" s="2"/>
      <c r="E435" s="2"/>
      <c r="F435" s="2"/>
      <c r="U435" s="2"/>
    </row>
    <row r="436" spans="1:23">
      <c r="A436" s="2"/>
      <c r="B436" s="2"/>
      <c r="C436" s="2"/>
      <c r="D436" s="2"/>
      <c r="E436" s="2"/>
      <c r="F436" s="2"/>
      <c r="U436" s="2"/>
    </row>
    <row r="437" spans="1:23">
      <c r="A437" s="2"/>
      <c r="B437" s="2"/>
      <c r="C437" s="2"/>
      <c r="D437" s="2"/>
      <c r="E437" s="2"/>
      <c r="F437" s="2"/>
      <c r="U437" s="2"/>
    </row>
    <row r="438" spans="1:23">
      <c r="A438" s="2"/>
      <c r="B438" s="2"/>
      <c r="C438" s="2"/>
      <c r="D438" s="2"/>
      <c r="E438" s="2"/>
      <c r="F438" s="2"/>
      <c r="U438" s="2"/>
    </row>
    <row r="439" spans="1:23">
      <c r="A439" s="2"/>
      <c r="B439" s="2"/>
      <c r="C439" s="2"/>
      <c r="D439" s="2"/>
      <c r="E439" s="2"/>
      <c r="F439" s="2"/>
      <c r="U439" s="2"/>
    </row>
    <row r="440" spans="1:23">
      <c r="A440" s="2"/>
      <c r="B440" s="2"/>
      <c r="C440" s="2"/>
      <c r="D440" s="2"/>
      <c r="E440" s="2"/>
      <c r="F440" s="2"/>
      <c r="U440" s="2"/>
    </row>
    <row r="441" spans="1:23">
      <c r="A441" s="2"/>
      <c r="B441" s="2"/>
      <c r="C441" s="2"/>
      <c r="D441" s="2"/>
      <c r="E441" s="2"/>
      <c r="F441" s="2"/>
      <c r="U441" s="2"/>
    </row>
    <row r="442" spans="1:23" ht="13.5" thickBot="1">
      <c r="A442" s="2"/>
      <c r="B442" s="2"/>
      <c r="C442" s="2"/>
      <c r="D442" s="2"/>
      <c r="E442" s="2"/>
      <c r="F442" s="2"/>
      <c r="U442" s="2"/>
    </row>
    <row r="443" spans="1:23" ht="45">
      <c r="A443" s="320" t="s">
        <v>85</v>
      </c>
      <c r="B443" s="320"/>
      <c r="C443" s="321"/>
      <c r="D443" s="321"/>
      <c r="E443" s="321"/>
      <c r="F443" s="321"/>
      <c r="G443" s="321"/>
      <c r="H443" s="321"/>
      <c r="I443" s="321"/>
      <c r="J443" s="321"/>
      <c r="K443" s="321"/>
      <c r="L443" s="321"/>
      <c r="M443" s="321"/>
      <c r="N443" s="321"/>
      <c r="O443" s="321"/>
      <c r="P443" s="321"/>
      <c r="Q443" s="321"/>
      <c r="R443" s="321"/>
      <c r="S443" s="321"/>
      <c r="T443" s="321"/>
      <c r="U443" s="321"/>
      <c r="V443" s="322"/>
      <c r="W443" s="322"/>
    </row>
    <row r="444" spans="1:23">
      <c r="A444" s="2"/>
      <c r="B444" s="2"/>
      <c r="C444" s="2"/>
      <c r="D444" s="2"/>
      <c r="E444" s="2"/>
      <c r="F444" s="2"/>
      <c r="U444" s="2"/>
      <c r="V444" s="323"/>
      <c r="W444" s="323"/>
    </row>
    <row r="445" spans="1:23">
      <c r="A445" s="2"/>
      <c r="B445" s="2"/>
      <c r="C445" s="2"/>
      <c r="D445" s="2"/>
      <c r="E445" s="2"/>
      <c r="F445" s="2"/>
      <c r="U445" s="2"/>
      <c r="V445" s="323"/>
      <c r="W445" s="323"/>
    </row>
    <row r="446" spans="1:23">
      <c r="A446" s="2"/>
      <c r="B446" s="2"/>
      <c r="C446" s="2"/>
      <c r="D446" s="2"/>
      <c r="E446" s="2"/>
      <c r="F446" s="2"/>
      <c r="U446" s="2"/>
      <c r="V446" s="323"/>
      <c r="W446" s="323"/>
    </row>
    <row r="447" spans="1:23">
      <c r="A447" s="2"/>
      <c r="B447" s="2"/>
      <c r="C447" s="2"/>
      <c r="D447" s="2"/>
      <c r="E447" s="2"/>
      <c r="F447" s="2"/>
      <c r="U447" s="2"/>
      <c r="V447" s="323"/>
      <c r="W447" s="323"/>
    </row>
    <row r="448" spans="1:23">
      <c r="A448" s="2"/>
      <c r="B448" s="2"/>
      <c r="C448" s="2"/>
      <c r="D448" s="2"/>
      <c r="E448" s="2"/>
      <c r="F448" s="2"/>
      <c r="U448" s="2"/>
      <c r="V448" s="323"/>
      <c r="W448" s="323"/>
    </row>
    <row r="449" spans="1:23">
      <c r="A449" s="2"/>
      <c r="B449" s="2"/>
      <c r="C449" s="2"/>
      <c r="D449" s="2"/>
      <c r="E449" s="2"/>
      <c r="F449" s="2"/>
      <c r="U449" s="2"/>
      <c r="V449" s="323"/>
      <c r="W449" s="323"/>
    </row>
    <row r="450" spans="1:23">
      <c r="A450" s="2"/>
      <c r="B450" s="2"/>
      <c r="C450" s="2"/>
      <c r="D450" s="2"/>
      <c r="E450" s="2"/>
      <c r="F450" s="2"/>
      <c r="U450" s="2"/>
      <c r="V450" s="323"/>
      <c r="W450" s="323"/>
    </row>
    <row r="451" spans="1:23">
      <c r="A451" s="2"/>
      <c r="B451" s="2"/>
      <c r="C451" s="2"/>
      <c r="D451" s="2"/>
      <c r="E451" s="2"/>
      <c r="F451" s="2"/>
      <c r="U451" s="2"/>
      <c r="V451" s="323"/>
      <c r="W451" s="323"/>
    </row>
    <row r="452" spans="1:23">
      <c r="A452" s="2"/>
      <c r="B452" s="2"/>
      <c r="C452" s="2"/>
      <c r="D452" s="2"/>
      <c r="E452" s="2"/>
      <c r="F452" s="2"/>
      <c r="U452" s="2"/>
      <c r="V452" s="323"/>
      <c r="W452" s="323"/>
    </row>
    <row r="453" spans="1:23">
      <c r="A453" s="2"/>
      <c r="B453" s="2"/>
      <c r="C453" s="2"/>
      <c r="D453" s="2"/>
      <c r="E453" s="2"/>
      <c r="F453" s="2"/>
      <c r="U453" s="2"/>
      <c r="V453" s="323"/>
      <c r="W453" s="323"/>
    </row>
    <row r="454" spans="1:23" ht="13.5" thickBot="1">
      <c r="A454" s="324"/>
      <c r="B454" s="324"/>
      <c r="C454" s="324"/>
      <c r="D454" s="324"/>
      <c r="E454" s="324"/>
      <c r="F454" s="324"/>
      <c r="G454" s="324"/>
      <c r="H454" s="324"/>
      <c r="I454" s="324"/>
      <c r="J454" s="324"/>
      <c r="K454" s="324"/>
      <c r="L454" s="324"/>
      <c r="M454" s="324"/>
      <c r="N454" s="324"/>
      <c r="O454" s="324"/>
      <c r="P454" s="324"/>
      <c r="Q454" s="324"/>
      <c r="R454" s="324"/>
      <c r="S454" s="324"/>
      <c r="T454" s="324"/>
      <c r="U454" s="324"/>
      <c r="V454" s="325"/>
      <c r="W454" s="325"/>
    </row>
    <row r="455" spans="1:23">
      <c r="A455" s="2"/>
      <c r="B455" s="2"/>
      <c r="C455" s="2"/>
      <c r="D455" s="2"/>
      <c r="E455" s="2"/>
      <c r="F455" s="2"/>
      <c r="U455" s="2"/>
    </row>
    <row r="456" spans="1:23">
      <c r="A456" s="2"/>
      <c r="B456" s="2"/>
      <c r="C456" s="2"/>
      <c r="D456" s="2"/>
      <c r="E456" s="2"/>
      <c r="F456" s="2"/>
      <c r="U456" s="2"/>
    </row>
    <row r="457" spans="1:23">
      <c r="A457" s="2"/>
      <c r="B457" s="2"/>
      <c r="C457" s="2"/>
      <c r="D457" s="2"/>
      <c r="E457" s="2"/>
      <c r="F457" s="2"/>
      <c r="U457" s="2"/>
    </row>
    <row r="458" spans="1:23">
      <c r="A458" s="2"/>
      <c r="B458" s="2"/>
      <c r="C458" s="2"/>
      <c r="D458" s="2"/>
      <c r="E458" s="2"/>
      <c r="F458" s="2"/>
      <c r="U458" s="2"/>
    </row>
    <row r="459" spans="1:23">
      <c r="A459" s="2"/>
      <c r="B459" s="2"/>
      <c r="C459" s="2"/>
      <c r="D459" s="2"/>
      <c r="E459" s="2"/>
      <c r="F459" s="2"/>
      <c r="U459" s="2"/>
    </row>
    <row r="460" spans="1:23">
      <c r="A460" s="2"/>
      <c r="B460" s="2"/>
      <c r="C460" s="2"/>
      <c r="D460" s="2"/>
      <c r="E460" s="2"/>
      <c r="F460" s="2"/>
      <c r="U460" s="2"/>
    </row>
    <row r="461" spans="1:23">
      <c r="A461" s="2"/>
      <c r="B461" s="2"/>
      <c r="C461" s="2"/>
      <c r="D461" s="2"/>
      <c r="E461" s="2"/>
      <c r="F461" s="2"/>
      <c r="U461" s="2"/>
    </row>
    <row r="462" spans="1:23">
      <c r="A462" s="2"/>
      <c r="B462" s="2"/>
      <c r="C462" s="2"/>
      <c r="D462" s="2"/>
      <c r="E462" s="2"/>
      <c r="F462" s="2"/>
      <c r="U462" s="2"/>
    </row>
    <row r="463" spans="1:23">
      <c r="A463" s="2"/>
      <c r="B463" s="2"/>
      <c r="C463" s="2"/>
      <c r="D463" s="2"/>
      <c r="E463" s="2"/>
      <c r="F463" s="2"/>
      <c r="U463" s="2"/>
    </row>
    <row r="464" spans="1:23">
      <c r="A464" s="2"/>
      <c r="B464" s="2"/>
      <c r="C464" s="2"/>
      <c r="D464" s="2"/>
      <c r="E464" s="2"/>
      <c r="F464" s="2"/>
      <c r="U464" s="2"/>
    </row>
    <row r="465" spans="1:21">
      <c r="A465" s="2"/>
      <c r="B465" s="2"/>
      <c r="C465" s="2"/>
      <c r="D465" s="2"/>
      <c r="E465" s="2"/>
      <c r="F465" s="2"/>
      <c r="U465" s="2"/>
    </row>
    <row r="466" spans="1:21">
      <c r="A466" s="2"/>
      <c r="B466" s="2"/>
      <c r="C466" s="2"/>
      <c r="D466" s="2"/>
      <c r="E466" s="2"/>
      <c r="F466" s="2"/>
      <c r="U466" s="2"/>
    </row>
    <row r="467" spans="1:21">
      <c r="A467" s="2"/>
      <c r="B467" s="2"/>
      <c r="C467" s="2"/>
      <c r="D467" s="2"/>
      <c r="E467" s="2"/>
      <c r="F467" s="2"/>
      <c r="U467" s="2"/>
    </row>
    <row r="468" spans="1:21">
      <c r="A468" s="2"/>
      <c r="B468" s="2"/>
      <c r="C468" s="2"/>
      <c r="D468" s="2"/>
      <c r="E468" s="2"/>
      <c r="F468" s="2"/>
      <c r="U468" s="2"/>
    </row>
    <row r="469" spans="1:21">
      <c r="A469" s="2"/>
      <c r="B469" s="2"/>
      <c r="C469" s="2"/>
      <c r="D469" s="2"/>
      <c r="E469" s="2"/>
      <c r="F469" s="2"/>
      <c r="U469" s="2"/>
    </row>
    <row r="470" spans="1:21">
      <c r="A470" s="2"/>
      <c r="B470" s="2"/>
      <c r="C470" s="2"/>
      <c r="D470" s="2"/>
      <c r="E470" s="2"/>
      <c r="F470" s="2"/>
      <c r="U470" s="2"/>
    </row>
    <row r="471" spans="1:21">
      <c r="A471" s="2"/>
      <c r="B471" s="2"/>
      <c r="C471" s="2"/>
      <c r="D471" s="2"/>
      <c r="E471" s="2"/>
      <c r="F471" s="2"/>
      <c r="U471" s="2"/>
    </row>
    <row r="472" spans="1:21">
      <c r="A472" s="2"/>
      <c r="B472" s="2"/>
      <c r="C472" s="2"/>
      <c r="D472" s="2"/>
      <c r="E472" s="2"/>
      <c r="F472" s="2"/>
      <c r="U472" s="2"/>
    </row>
    <row r="473" spans="1:21">
      <c r="A473" s="2"/>
      <c r="B473" s="2"/>
      <c r="C473" s="2"/>
      <c r="D473" s="2"/>
      <c r="E473" s="2"/>
      <c r="F473" s="2"/>
      <c r="U473" s="2"/>
    </row>
    <row r="474" spans="1:21">
      <c r="A474" s="2"/>
      <c r="B474" s="2"/>
      <c r="C474" s="2"/>
      <c r="D474" s="2"/>
      <c r="E474" s="2"/>
      <c r="F474" s="2"/>
      <c r="U474" s="2"/>
    </row>
    <row r="475" spans="1:21">
      <c r="A475" s="2"/>
      <c r="B475" s="2"/>
      <c r="C475" s="2"/>
      <c r="D475" s="2"/>
      <c r="E475" s="2"/>
      <c r="F475" s="2"/>
      <c r="U475" s="2"/>
    </row>
    <row r="476" spans="1:21">
      <c r="A476" s="2"/>
      <c r="B476" s="2"/>
      <c r="C476" s="2"/>
      <c r="D476" s="2"/>
      <c r="E476" s="2"/>
      <c r="F476" s="2"/>
      <c r="U476" s="2"/>
    </row>
    <row r="477" spans="1:21">
      <c r="A477" s="2"/>
      <c r="B477" s="2"/>
      <c r="C477" s="2"/>
      <c r="D477" s="2"/>
      <c r="E477" s="2"/>
      <c r="F477" s="2"/>
      <c r="U477" s="2"/>
    </row>
    <row r="478" spans="1:21">
      <c r="A478" s="2"/>
      <c r="B478" s="2"/>
      <c r="C478" s="2"/>
      <c r="D478" s="2"/>
      <c r="E478" s="2"/>
      <c r="F478" s="2"/>
      <c r="U478" s="2"/>
    </row>
    <row r="479" spans="1:21">
      <c r="A479" s="2"/>
      <c r="B479" s="2"/>
      <c r="C479" s="2"/>
      <c r="D479" s="2"/>
      <c r="E479" s="2"/>
      <c r="F479" s="2"/>
      <c r="U479" s="2"/>
    </row>
    <row r="480" spans="1:21">
      <c r="A480" s="2"/>
      <c r="B480" s="2"/>
      <c r="C480" s="2"/>
      <c r="D480" s="2"/>
      <c r="E480" s="2"/>
      <c r="F480" s="2"/>
      <c r="U480" s="2"/>
    </row>
    <row r="481" spans="1:21">
      <c r="A481" s="2"/>
      <c r="B481" s="2"/>
      <c r="C481" s="2"/>
      <c r="D481" s="2"/>
      <c r="E481" s="2"/>
      <c r="F481" s="2"/>
      <c r="U481" s="2"/>
    </row>
    <row r="482" spans="1:21">
      <c r="A482" s="2"/>
      <c r="B482" s="2"/>
      <c r="C482" s="2"/>
      <c r="D482" s="2"/>
      <c r="E482" s="2"/>
      <c r="F482" s="2"/>
      <c r="U482" s="2"/>
    </row>
    <row r="483" spans="1:21">
      <c r="A483" s="2"/>
      <c r="B483" s="2"/>
      <c r="C483" s="2"/>
      <c r="D483" s="2"/>
      <c r="E483" s="2"/>
      <c r="F483" s="2"/>
      <c r="U483" s="2"/>
    </row>
    <row r="484" spans="1:21">
      <c r="A484" s="2"/>
      <c r="B484" s="2"/>
      <c r="C484" s="2"/>
      <c r="D484" s="2"/>
      <c r="E484" s="2"/>
      <c r="F484" s="2"/>
      <c r="U484" s="2"/>
    </row>
    <row r="485" spans="1:21">
      <c r="A485" s="2"/>
      <c r="B485" s="2"/>
      <c r="C485" s="2"/>
      <c r="D485" s="2"/>
      <c r="E485" s="2"/>
      <c r="F485" s="2"/>
      <c r="U485" s="2"/>
    </row>
    <row r="486" spans="1:21">
      <c r="A486" s="2"/>
      <c r="B486" s="2"/>
      <c r="C486" s="2"/>
      <c r="D486" s="2"/>
      <c r="E486" s="2"/>
      <c r="F486" s="2"/>
      <c r="U486" s="2"/>
    </row>
    <row r="487" spans="1:21">
      <c r="A487" s="2"/>
      <c r="B487" s="2"/>
      <c r="C487" s="2"/>
      <c r="D487" s="2"/>
      <c r="E487" s="2"/>
      <c r="F487" s="2"/>
      <c r="U487" s="2"/>
    </row>
    <row r="488" spans="1:21">
      <c r="A488" s="2"/>
      <c r="B488" s="2"/>
      <c r="C488" s="2"/>
      <c r="D488" s="2"/>
      <c r="E488" s="2"/>
      <c r="F488" s="2"/>
      <c r="U488" s="2"/>
    </row>
    <row r="489" spans="1:21">
      <c r="A489" s="2"/>
      <c r="B489" s="2"/>
      <c r="C489" s="2"/>
      <c r="D489" s="2"/>
      <c r="E489" s="2"/>
      <c r="F489" s="2"/>
      <c r="U489" s="2"/>
    </row>
    <row r="490" spans="1:21">
      <c r="A490" s="2"/>
      <c r="B490" s="2"/>
      <c r="C490" s="2"/>
      <c r="D490" s="2"/>
      <c r="E490" s="2"/>
      <c r="F490" s="2"/>
      <c r="U490" s="2"/>
    </row>
    <row r="491" spans="1:21">
      <c r="A491" s="2"/>
      <c r="B491" s="2"/>
      <c r="C491" s="2"/>
      <c r="D491" s="2"/>
      <c r="E491" s="2"/>
      <c r="F491" s="2"/>
      <c r="U491" s="2"/>
    </row>
    <row r="492" spans="1:21">
      <c r="A492" s="2"/>
      <c r="B492" s="2"/>
      <c r="C492" s="2"/>
      <c r="D492" s="2"/>
      <c r="E492" s="2"/>
      <c r="F492" s="2"/>
      <c r="U492" s="2"/>
    </row>
    <row r="493" spans="1:21">
      <c r="A493" s="2"/>
      <c r="B493" s="2"/>
      <c r="C493" s="2"/>
      <c r="D493" s="2"/>
      <c r="E493" s="2"/>
      <c r="F493" s="2"/>
      <c r="U493" s="2"/>
    </row>
    <row r="494" spans="1:21">
      <c r="A494" s="2"/>
      <c r="B494" s="2"/>
      <c r="C494" s="2"/>
      <c r="D494" s="2"/>
      <c r="E494" s="2"/>
      <c r="F494" s="2"/>
      <c r="U494" s="2"/>
    </row>
    <row r="495" spans="1:21">
      <c r="A495" s="2"/>
      <c r="B495" s="2"/>
      <c r="C495" s="2"/>
      <c r="D495" s="2"/>
      <c r="E495" s="2"/>
      <c r="F495" s="2"/>
      <c r="U495" s="2"/>
    </row>
    <row r="496" spans="1:21">
      <c r="A496" s="2"/>
      <c r="B496" s="2"/>
      <c r="C496" s="2"/>
      <c r="D496" s="2"/>
      <c r="E496" s="2"/>
      <c r="F496" s="2"/>
      <c r="U496" s="2"/>
    </row>
    <row r="497" spans="1:21">
      <c r="A497" s="2"/>
      <c r="B497" s="2"/>
      <c r="C497" s="2"/>
      <c r="D497" s="2"/>
      <c r="E497" s="2"/>
      <c r="F497" s="2"/>
      <c r="U497" s="2"/>
    </row>
    <row r="498" spans="1:21">
      <c r="A498" s="2"/>
      <c r="B498" s="2"/>
      <c r="C498" s="2"/>
      <c r="D498" s="2"/>
      <c r="E498" s="2"/>
      <c r="F498" s="2"/>
      <c r="U498" s="2"/>
    </row>
    <row r="499" spans="1:21">
      <c r="A499" s="2"/>
      <c r="B499" s="2"/>
      <c r="C499" s="2"/>
      <c r="D499" s="2"/>
      <c r="E499" s="2"/>
      <c r="F499" s="2"/>
      <c r="U499" s="2"/>
    </row>
    <row r="500" spans="1:21">
      <c r="A500" s="2"/>
      <c r="B500" s="2"/>
      <c r="C500" s="2"/>
      <c r="D500" s="2"/>
      <c r="E500" s="2"/>
      <c r="F500" s="2"/>
      <c r="U500" s="2"/>
    </row>
    <row r="501" spans="1:21">
      <c r="A501" s="2"/>
      <c r="B501" s="2"/>
      <c r="C501" s="2"/>
      <c r="D501" s="2"/>
      <c r="E501" s="2"/>
      <c r="F501" s="2"/>
      <c r="U501" s="2"/>
    </row>
    <row r="502" spans="1:21">
      <c r="A502" s="2"/>
      <c r="B502" s="2"/>
      <c r="C502" s="2"/>
      <c r="D502" s="2"/>
      <c r="E502" s="2"/>
      <c r="F502" s="2"/>
      <c r="U502" s="2"/>
    </row>
    <row r="503" spans="1:21">
      <c r="A503" s="2"/>
      <c r="B503" s="2"/>
      <c r="C503" s="2"/>
      <c r="D503" s="2"/>
      <c r="E503" s="2"/>
      <c r="F503" s="2"/>
      <c r="U503" s="2"/>
    </row>
    <row r="504" spans="1:21">
      <c r="A504" s="2"/>
      <c r="B504" s="2"/>
      <c r="C504" s="2"/>
      <c r="D504" s="2"/>
      <c r="E504" s="2"/>
      <c r="F504" s="2"/>
      <c r="U504" s="2"/>
    </row>
    <row r="505" spans="1:21">
      <c r="A505" s="2"/>
      <c r="B505" s="2"/>
      <c r="C505" s="2"/>
      <c r="D505" s="2"/>
      <c r="E505" s="2"/>
      <c r="F505" s="2"/>
      <c r="U505" s="2"/>
    </row>
    <row r="506" spans="1:21">
      <c r="A506" s="2"/>
      <c r="B506" s="2"/>
      <c r="C506" s="2"/>
      <c r="D506" s="2"/>
      <c r="E506" s="2"/>
      <c r="F506" s="2"/>
      <c r="U506" s="2"/>
    </row>
    <row r="507" spans="1:21">
      <c r="A507" s="2"/>
      <c r="B507" s="2"/>
      <c r="C507" s="2"/>
      <c r="D507" s="2"/>
      <c r="E507" s="2"/>
      <c r="F507" s="2"/>
      <c r="U507" s="2"/>
    </row>
    <row r="508" spans="1:21">
      <c r="A508" s="2"/>
      <c r="B508" s="2"/>
      <c r="C508" s="2"/>
      <c r="D508" s="2"/>
      <c r="E508" s="2"/>
      <c r="F508" s="2"/>
      <c r="U508" s="2"/>
    </row>
    <row r="509" spans="1:21">
      <c r="A509" s="2"/>
      <c r="B509" s="2"/>
      <c r="C509" s="2"/>
      <c r="D509" s="2"/>
      <c r="E509" s="2"/>
      <c r="F509" s="2"/>
      <c r="U509" s="2"/>
    </row>
    <row r="510" spans="1:21">
      <c r="A510" s="2"/>
      <c r="B510" s="2"/>
      <c r="C510" s="2"/>
      <c r="D510" s="2"/>
      <c r="E510" s="2"/>
      <c r="F510" s="2"/>
      <c r="U510" s="2"/>
    </row>
    <row r="511" spans="1:21">
      <c r="A511" s="2"/>
      <c r="B511" s="2"/>
      <c r="C511" s="2"/>
      <c r="D511" s="2"/>
      <c r="E511" s="2"/>
      <c r="F511" s="2"/>
      <c r="U511" s="2"/>
    </row>
    <row r="512" spans="1:21">
      <c r="A512" s="2"/>
      <c r="B512" s="2"/>
      <c r="C512" s="2"/>
      <c r="D512" s="2"/>
      <c r="E512" s="2"/>
      <c r="F512" s="2"/>
      <c r="U512" s="2"/>
    </row>
    <row r="513" spans="1:21">
      <c r="A513" s="2"/>
      <c r="B513" s="2"/>
      <c r="C513" s="2"/>
      <c r="D513" s="2"/>
      <c r="E513" s="2"/>
      <c r="F513" s="2"/>
      <c r="U513" s="2"/>
    </row>
    <row r="514" spans="1:21">
      <c r="A514" s="2"/>
      <c r="B514" s="2"/>
      <c r="C514" s="2"/>
      <c r="D514" s="2"/>
      <c r="E514" s="2"/>
      <c r="F514" s="2"/>
      <c r="U514" s="2"/>
    </row>
    <row r="515" spans="1:21">
      <c r="A515" s="2"/>
      <c r="B515" s="2"/>
      <c r="C515" s="2"/>
      <c r="D515" s="2"/>
      <c r="E515" s="2"/>
      <c r="F515" s="2"/>
      <c r="U515" s="2"/>
    </row>
    <row r="516" spans="1:21">
      <c r="A516" s="2"/>
      <c r="B516" s="2"/>
      <c r="C516" s="2"/>
      <c r="D516" s="2"/>
      <c r="E516" s="2"/>
      <c r="F516" s="2"/>
      <c r="U516" s="2"/>
    </row>
    <row r="517" spans="1:21">
      <c r="A517" s="2"/>
      <c r="B517" s="2"/>
      <c r="C517" s="2"/>
      <c r="D517" s="2"/>
      <c r="E517" s="2"/>
      <c r="F517" s="2"/>
      <c r="U517" s="2"/>
    </row>
    <row r="518" spans="1:21">
      <c r="A518" s="2"/>
      <c r="B518" s="2"/>
      <c r="C518" s="2"/>
      <c r="D518" s="2"/>
      <c r="E518" s="2"/>
      <c r="F518" s="2"/>
      <c r="U518" s="2"/>
    </row>
    <row r="519" spans="1:21">
      <c r="A519" s="2"/>
      <c r="B519" s="2"/>
      <c r="C519" s="2"/>
      <c r="D519" s="2"/>
      <c r="E519" s="2"/>
      <c r="F519" s="2"/>
      <c r="U519" s="2"/>
    </row>
    <row r="520" spans="1:21">
      <c r="A520" s="2"/>
      <c r="B520" s="2"/>
      <c r="C520" s="2"/>
      <c r="D520" s="2"/>
      <c r="E520" s="2"/>
      <c r="F520" s="2"/>
      <c r="U520" s="2"/>
    </row>
    <row r="521" spans="1:21">
      <c r="A521" s="2"/>
      <c r="B521" s="2"/>
      <c r="C521" s="2"/>
      <c r="D521" s="2"/>
      <c r="E521" s="2"/>
      <c r="F521" s="2"/>
      <c r="U521" s="2"/>
    </row>
    <row r="522" spans="1:21">
      <c r="A522" s="2"/>
      <c r="B522" s="2"/>
      <c r="C522" s="2"/>
      <c r="D522" s="2"/>
      <c r="E522" s="2"/>
      <c r="F522" s="2"/>
      <c r="U522" s="2"/>
    </row>
    <row r="523" spans="1:21">
      <c r="A523" s="2"/>
      <c r="B523" s="2"/>
      <c r="C523" s="2"/>
      <c r="D523" s="2"/>
      <c r="E523" s="2"/>
      <c r="F523" s="2"/>
      <c r="U523" s="2"/>
    </row>
    <row r="524" spans="1:21">
      <c r="A524" s="2"/>
      <c r="B524" s="2"/>
      <c r="C524" s="2"/>
      <c r="D524" s="2"/>
      <c r="E524" s="2"/>
      <c r="F524" s="2"/>
      <c r="U524" s="2"/>
    </row>
    <row r="525" spans="1:21">
      <c r="A525" s="2"/>
      <c r="B525" s="2"/>
      <c r="C525" s="2"/>
      <c r="D525" s="2"/>
      <c r="E525" s="2"/>
      <c r="F525" s="2"/>
      <c r="U525" s="2"/>
    </row>
    <row r="526" spans="1:21">
      <c r="A526" s="2"/>
      <c r="B526" s="2"/>
      <c r="C526" s="2"/>
      <c r="D526" s="2"/>
      <c r="E526" s="2"/>
      <c r="F526" s="2"/>
      <c r="U526" s="2"/>
    </row>
    <row r="527" spans="1:21">
      <c r="A527" s="2"/>
      <c r="B527" s="2"/>
      <c r="C527" s="2"/>
      <c r="D527" s="2"/>
      <c r="E527" s="2"/>
      <c r="F527" s="2"/>
      <c r="U527" s="2"/>
    </row>
    <row r="528" spans="1:21">
      <c r="A528" s="2"/>
      <c r="B528" s="2"/>
      <c r="C528" s="2"/>
      <c r="D528" s="2"/>
      <c r="E528" s="2"/>
      <c r="F528" s="2"/>
      <c r="U528" s="2"/>
    </row>
    <row r="529" spans="1:21">
      <c r="A529" s="2"/>
      <c r="B529" s="2"/>
      <c r="C529" s="2"/>
      <c r="D529" s="2"/>
      <c r="E529" s="2"/>
      <c r="F529" s="2"/>
      <c r="U529" s="2"/>
    </row>
    <row r="530" spans="1:21">
      <c r="A530" s="2"/>
      <c r="B530" s="2"/>
      <c r="C530" s="2"/>
      <c r="D530" s="2"/>
      <c r="E530" s="2"/>
      <c r="F530" s="2"/>
      <c r="U530" s="2"/>
    </row>
    <row r="531" spans="1:21">
      <c r="A531" s="2"/>
      <c r="B531" s="2"/>
      <c r="C531" s="2"/>
      <c r="D531" s="2"/>
      <c r="E531" s="2"/>
      <c r="F531" s="2"/>
      <c r="U531" s="2"/>
    </row>
    <row r="532" spans="1:21">
      <c r="A532" s="2"/>
      <c r="B532" s="2"/>
      <c r="C532" s="2"/>
      <c r="D532" s="2"/>
      <c r="E532" s="2"/>
      <c r="F532" s="2"/>
      <c r="U532" s="2"/>
    </row>
    <row r="533" spans="1:21">
      <c r="A533" s="2"/>
      <c r="B533" s="2"/>
      <c r="C533" s="2"/>
      <c r="D533" s="2"/>
      <c r="E533" s="2"/>
      <c r="F533" s="2"/>
      <c r="U533" s="2"/>
    </row>
    <row r="534" spans="1:21">
      <c r="A534" s="2"/>
      <c r="B534" s="2"/>
      <c r="C534" s="2"/>
      <c r="D534" s="2"/>
      <c r="E534" s="2"/>
      <c r="F534" s="2"/>
      <c r="U534" s="2"/>
    </row>
    <row r="535" spans="1:21">
      <c r="A535" s="2"/>
      <c r="B535" s="2"/>
      <c r="C535" s="2"/>
      <c r="D535" s="2"/>
      <c r="E535" s="2"/>
      <c r="F535" s="2"/>
      <c r="U535" s="2"/>
    </row>
    <row r="536" spans="1:21">
      <c r="A536" s="2"/>
      <c r="B536" s="2"/>
      <c r="C536" s="2"/>
      <c r="D536" s="2"/>
      <c r="E536" s="2"/>
      <c r="F536" s="2"/>
      <c r="U536" s="2"/>
    </row>
    <row r="537" spans="1:21">
      <c r="A537" s="2"/>
      <c r="B537" s="2"/>
      <c r="C537" s="2"/>
      <c r="D537" s="2"/>
      <c r="E537" s="2"/>
      <c r="F537" s="2"/>
      <c r="U537" s="2"/>
    </row>
    <row r="538" spans="1:21">
      <c r="A538" s="2"/>
      <c r="B538" s="2"/>
      <c r="C538" s="2"/>
      <c r="D538" s="2"/>
      <c r="E538" s="2"/>
      <c r="F538" s="2"/>
      <c r="U538" s="2"/>
    </row>
    <row r="539" spans="1:21">
      <c r="A539" s="2"/>
      <c r="B539" s="2"/>
      <c r="C539" s="2"/>
      <c r="D539" s="2"/>
      <c r="E539" s="2"/>
      <c r="F539" s="2"/>
      <c r="U539" s="2"/>
    </row>
    <row r="540" spans="1:21">
      <c r="A540" s="2"/>
      <c r="B540" s="2"/>
      <c r="C540" s="2"/>
      <c r="D540" s="2"/>
      <c r="E540" s="2"/>
      <c r="F540" s="2"/>
      <c r="U540" s="2"/>
    </row>
    <row r="541" spans="1:21">
      <c r="A541" s="2"/>
      <c r="B541" s="2"/>
      <c r="C541" s="2"/>
      <c r="D541" s="2"/>
      <c r="E541" s="2"/>
      <c r="F541" s="2"/>
      <c r="U541" s="2"/>
    </row>
    <row r="542" spans="1:21">
      <c r="A542" s="2"/>
      <c r="B542" s="2"/>
      <c r="C542" s="2"/>
      <c r="D542" s="2"/>
      <c r="E542" s="2"/>
      <c r="F542" s="2"/>
      <c r="U542" s="2"/>
    </row>
    <row r="543" spans="1:21">
      <c r="A543" s="2"/>
      <c r="B543" s="2"/>
      <c r="C543" s="2"/>
      <c r="D543" s="2"/>
      <c r="E543" s="2"/>
      <c r="F543" s="2"/>
      <c r="U543" s="2"/>
    </row>
    <row r="544" spans="1:21">
      <c r="A544" s="2"/>
      <c r="B544" s="2"/>
      <c r="C544" s="2"/>
      <c r="D544" s="2"/>
      <c r="E544" s="2"/>
      <c r="F544" s="2"/>
      <c r="U544" s="2"/>
    </row>
    <row r="545" spans="1:21">
      <c r="A545" s="2"/>
      <c r="B545" s="2"/>
      <c r="C545" s="2"/>
      <c r="D545" s="2"/>
      <c r="E545" s="2"/>
      <c r="F545" s="2"/>
      <c r="U545" s="2"/>
    </row>
    <row r="546" spans="1:21">
      <c r="A546" s="2"/>
      <c r="B546" s="2"/>
      <c r="C546" s="2"/>
      <c r="D546" s="2"/>
      <c r="E546" s="2"/>
      <c r="F546" s="2"/>
      <c r="U546" s="2"/>
    </row>
    <row r="547" spans="1:21">
      <c r="A547" s="2"/>
      <c r="B547" s="2"/>
      <c r="C547" s="2"/>
      <c r="D547" s="2"/>
      <c r="E547" s="2"/>
      <c r="F547" s="2"/>
      <c r="U547" s="2"/>
    </row>
    <row r="548" spans="1:21">
      <c r="A548" s="2"/>
      <c r="B548" s="2"/>
      <c r="C548" s="2"/>
      <c r="D548" s="2"/>
      <c r="E548" s="2"/>
      <c r="F548" s="2"/>
      <c r="U548" s="2"/>
    </row>
    <row r="549" spans="1:21">
      <c r="A549" s="2"/>
      <c r="B549" s="2"/>
      <c r="C549" s="2"/>
      <c r="D549" s="2"/>
      <c r="E549" s="2"/>
      <c r="F549" s="2"/>
      <c r="U549" s="2"/>
    </row>
    <row r="550" spans="1:21">
      <c r="A550" s="2"/>
      <c r="B550" s="2"/>
      <c r="C550" s="2"/>
      <c r="D550" s="2"/>
      <c r="E550" s="2"/>
      <c r="F550" s="2"/>
      <c r="U550" s="2"/>
    </row>
    <row r="551" spans="1:21">
      <c r="A551" s="2"/>
      <c r="B551" s="2"/>
      <c r="C551" s="2"/>
      <c r="D551" s="2"/>
      <c r="E551" s="2"/>
      <c r="F551" s="2"/>
      <c r="U551" s="2"/>
    </row>
    <row r="552" spans="1:21">
      <c r="A552" s="2"/>
      <c r="B552" s="2"/>
      <c r="C552" s="2"/>
      <c r="D552" s="2"/>
      <c r="E552" s="2"/>
      <c r="F552" s="2"/>
      <c r="U552" s="2"/>
    </row>
    <row r="553" spans="1:21">
      <c r="A553" s="2"/>
      <c r="B553" s="2"/>
      <c r="C553" s="2"/>
      <c r="D553" s="2"/>
      <c r="E553" s="2"/>
      <c r="F553" s="2"/>
      <c r="U553" s="2"/>
    </row>
    <row r="554" spans="1:21">
      <c r="A554" s="2"/>
      <c r="B554" s="2"/>
      <c r="C554" s="2"/>
      <c r="D554" s="2"/>
      <c r="E554" s="2"/>
      <c r="F554" s="2"/>
      <c r="U554" s="2"/>
    </row>
    <row r="555" spans="1:21">
      <c r="A555" s="2"/>
      <c r="B555" s="2"/>
      <c r="C555" s="2"/>
      <c r="D555" s="2"/>
      <c r="E555" s="2"/>
      <c r="F555" s="2"/>
      <c r="U555" s="2"/>
    </row>
    <row r="556" spans="1:21">
      <c r="A556" s="2"/>
      <c r="B556" s="2"/>
      <c r="C556" s="2"/>
      <c r="D556" s="2"/>
      <c r="E556" s="2"/>
      <c r="F556" s="2"/>
      <c r="U556" s="2"/>
    </row>
    <row r="557" spans="1:21">
      <c r="A557" s="2"/>
      <c r="B557" s="2"/>
      <c r="C557" s="2"/>
      <c r="D557" s="2"/>
      <c r="E557" s="2"/>
      <c r="F557" s="2"/>
      <c r="U557" s="2"/>
    </row>
    <row r="558" spans="1:21">
      <c r="A558" s="2"/>
      <c r="B558" s="2"/>
      <c r="C558" s="2"/>
      <c r="D558" s="2"/>
      <c r="E558" s="2"/>
      <c r="F558" s="2"/>
      <c r="U558" s="2"/>
    </row>
    <row r="559" spans="1:21">
      <c r="A559" s="2"/>
      <c r="B559" s="2"/>
      <c r="C559" s="2"/>
      <c r="D559" s="2"/>
      <c r="E559" s="2"/>
      <c r="F559" s="2"/>
      <c r="U559" s="2"/>
    </row>
    <row r="560" spans="1:21">
      <c r="A560" s="2"/>
      <c r="B560" s="2"/>
      <c r="C560" s="2"/>
      <c r="D560" s="2"/>
      <c r="E560" s="2"/>
      <c r="F560" s="2"/>
      <c r="U560" s="2"/>
    </row>
    <row r="561" spans="1:21">
      <c r="A561" s="2"/>
      <c r="B561" s="2"/>
      <c r="C561" s="2"/>
      <c r="D561" s="2"/>
      <c r="E561" s="2"/>
      <c r="F561" s="2"/>
      <c r="U561" s="2"/>
    </row>
    <row r="562" spans="1:21">
      <c r="A562" s="2"/>
      <c r="B562" s="2"/>
      <c r="C562" s="2"/>
      <c r="D562" s="2"/>
      <c r="E562" s="2"/>
      <c r="F562" s="2"/>
      <c r="U562" s="2"/>
    </row>
    <row r="563" spans="1:21">
      <c r="A563" s="2"/>
      <c r="B563" s="2"/>
      <c r="C563" s="2"/>
      <c r="D563" s="2"/>
      <c r="E563" s="2"/>
      <c r="F563" s="2"/>
      <c r="U563" s="2"/>
    </row>
    <row r="564" spans="1:21">
      <c r="A564" s="2"/>
      <c r="B564" s="2"/>
      <c r="C564" s="2"/>
      <c r="D564" s="2"/>
      <c r="E564" s="2"/>
      <c r="F564" s="2"/>
      <c r="U564" s="2"/>
    </row>
    <row r="565" spans="1:21">
      <c r="A565" s="2"/>
      <c r="B565" s="2"/>
      <c r="C565" s="2"/>
      <c r="D565" s="2"/>
      <c r="E565" s="2"/>
      <c r="F565" s="2"/>
      <c r="U565" s="2"/>
    </row>
    <row r="566" spans="1:21">
      <c r="A566" s="2"/>
      <c r="B566" s="2"/>
      <c r="C566" s="2"/>
      <c r="D566" s="2"/>
      <c r="E566" s="2"/>
      <c r="F566" s="2"/>
      <c r="U566" s="2"/>
    </row>
    <row r="567" spans="1:21">
      <c r="A567" s="2"/>
      <c r="B567" s="2"/>
      <c r="C567" s="2"/>
      <c r="D567" s="2"/>
      <c r="E567" s="2"/>
      <c r="F567" s="2"/>
      <c r="U567" s="2"/>
    </row>
    <row r="568" spans="1:21">
      <c r="A568" s="2"/>
      <c r="B568" s="2"/>
      <c r="C568" s="2"/>
      <c r="D568" s="2"/>
      <c r="E568" s="2"/>
      <c r="F568" s="2"/>
      <c r="U568" s="2"/>
    </row>
    <row r="569" spans="1:21">
      <c r="A569" s="2"/>
      <c r="B569" s="2"/>
      <c r="C569" s="2"/>
      <c r="D569" s="2"/>
      <c r="E569" s="2"/>
      <c r="F569" s="2"/>
      <c r="U569" s="2"/>
    </row>
    <row r="570" spans="1:21">
      <c r="A570" s="2"/>
      <c r="B570" s="2"/>
      <c r="C570" s="2"/>
      <c r="D570" s="2"/>
      <c r="E570" s="2"/>
      <c r="F570" s="2"/>
      <c r="U570" s="2"/>
    </row>
    <row r="571" spans="1:21">
      <c r="A571" s="2"/>
      <c r="B571" s="2"/>
      <c r="C571" s="2"/>
      <c r="D571" s="2"/>
      <c r="E571" s="2"/>
      <c r="F571" s="2"/>
      <c r="U571" s="2"/>
    </row>
    <row r="572" spans="1:21">
      <c r="A572" s="2"/>
      <c r="B572" s="2"/>
      <c r="C572" s="2"/>
      <c r="D572" s="2"/>
      <c r="E572" s="2"/>
      <c r="F572" s="2"/>
      <c r="U572" s="2"/>
    </row>
    <row r="573" spans="1:21">
      <c r="A573" s="2"/>
      <c r="B573" s="2"/>
      <c r="C573" s="2"/>
      <c r="D573" s="2"/>
      <c r="E573" s="2"/>
      <c r="F573" s="2"/>
      <c r="U573" s="2"/>
    </row>
    <row r="574" spans="1:21">
      <c r="A574" s="2"/>
      <c r="B574" s="2"/>
      <c r="C574" s="2"/>
      <c r="D574" s="2"/>
      <c r="E574" s="2"/>
      <c r="F574" s="2"/>
      <c r="U574" s="2"/>
    </row>
    <row r="575" spans="1:21">
      <c r="A575" s="2"/>
      <c r="B575" s="2"/>
      <c r="C575" s="2"/>
      <c r="D575" s="2"/>
      <c r="E575" s="2"/>
      <c r="F575" s="2"/>
      <c r="U575" s="2"/>
    </row>
    <row r="576" spans="1:21">
      <c r="A576" s="2"/>
      <c r="B576" s="2"/>
      <c r="C576" s="2"/>
      <c r="D576" s="2"/>
      <c r="E576" s="2"/>
      <c r="F576" s="2"/>
      <c r="U576" s="2"/>
    </row>
    <row r="577" spans="1:21">
      <c r="A577" s="2"/>
      <c r="B577" s="2"/>
      <c r="C577" s="2"/>
      <c r="D577" s="2"/>
      <c r="E577" s="2"/>
      <c r="F577" s="2"/>
      <c r="U577" s="2"/>
    </row>
    <row r="578" spans="1:21">
      <c r="A578" s="2"/>
      <c r="B578" s="2"/>
      <c r="C578" s="2"/>
      <c r="D578" s="2"/>
      <c r="E578" s="2"/>
      <c r="F578" s="2"/>
      <c r="U578" s="2"/>
    </row>
    <row r="579" spans="1:21">
      <c r="A579" s="2"/>
      <c r="B579" s="2"/>
      <c r="C579" s="2"/>
      <c r="D579" s="2"/>
      <c r="E579" s="2"/>
      <c r="F579" s="2"/>
      <c r="U579" s="2"/>
    </row>
    <row r="580" spans="1:21">
      <c r="A580" s="2"/>
      <c r="B580" s="2"/>
      <c r="C580" s="2"/>
      <c r="D580" s="2"/>
      <c r="E580" s="2"/>
      <c r="F580" s="2"/>
      <c r="U580" s="2"/>
    </row>
    <row r="581" spans="1:21">
      <c r="A581" s="2"/>
      <c r="B581" s="2"/>
      <c r="C581" s="2"/>
      <c r="D581" s="2"/>
      <c r="E581" s="2"/>
      <c r="F581" s="2"/>
      <c r="U581" s="2"/>
    </row>
    <row r="582" spans="1:21">
      <c r="A582" s="2"/>
      <c r="B582" s="2"/>
      <c r="C582" s="2"/>
      <c r="D582" s="2"/>
      <c r="E582" s="2"/>
      <c r="F582" s="2"/>
      <c r="U582" s="2"/>
    </row>
    <row r="583" spans="1:21">
      <c r="A583" s="2"/>
      <c r="B583" s="2"/>
      <c r="C583" s="2"/>
      <c r="D583" s="2"/>
      <c r="E583" s="2"/>
      <c r="F583" s="2"/>
      <c r="U583" s="2"/>
    </row>
    <row r="584" spans="1:21">
      <c r="A584" s="2"/>
      <c r="B584" s="2"/>
      <c r="C584" s="2"/>
      <c r="D584" s="2"/>
      <c r="E584" s="2"/>
      <c r="F584" s="2"/>
      <c r="U584" s="2"/>
    </row>
    <row r="585" spans="1:21">
      <c r="A585" s="2"/>
      <c r="B585" s="2"/>
      <c r="C585" s="2"/>
      <c r="D585" s="2"/>
      <c r="E585" s="2"/>
      <c r="F585" s="2"/>
      <c r="U585" s="2"/>
    </row>
    <row r="586" spans="1:21">
      <c r="A586" s="2"/>
      <c r="B586" s="2"/>
      <c r="C586" s="2"/>
      <c r="D586" s="2"/>
      <c r="E586" s="2"/>
      <c r="F586" s="2"/>
      <c r="U586" s="2"/>
    </row>
    <row r="587" spans="1:21">
      <c r="A587" s="2"/>
      <c r="B587" s="2"/>
      <c r="C587" s="2"/>
      <c r="D587" s="2"/>
      <c r="E587" s="2"/>
      <c r="F587" s="2"/>
      <c r="U587" s="2"/>
    </row>
    <row r="588" spans="1:21">
      <c r="A588" s="2"/>
      <c r="B588" s="2"/>
      <c r="C588" s="2"/>
      <c r="D588" s="2"/>
      <c r="E588" s="2"/>
      <c r="F588" s="2"/>
      <c r="U588" s="2"/>
    </row>
    <row r="589" spans="1:21">
      <c r="A589" s="2"/>
      <c r="B589" s="2"/>
      <c r="C589" s="2"/>
      <c r="D589" s="2"/>
      <c r="E589" s="2"/>
      <c r="F589" s="2"/>
      <c r="U589" s="2"/>
    </row>
    <row r="590" spans="1:21">
      <c r="A590" s="2"/>
      <c r="B590" s="2"/>
      <c r="C590" s="2"/>
      <c r="D590" s="2"/>
      <c r="E590" s="2"/>
      <c r="F590" s="2"/>
      <c r="U590" s="2"/>
    </row>
    <row r="591" spans="1:21">
      <c r="A591" s="2"/>
      <c r="B591" s="2"/>
      <c r="C591" s="2"/>
      <c r="D591" s="2"/>
      <c r="E591" s="2"/>
      <c r="F591" s="2"/>
      <c r="U591" s="2"/>
    </row>
    <row r="592" spans="1:21">
      <c r="A592" s="2"/>
      <c r="B592" s="2"/>
      <c r="C592" s="2"/>
      <c r="D592" s="2"/>
      <c r="E592" s="2"/>
      <c r="F592" s="2"/>
      <c r="U592" s="2"/>
    </row>
    <row r="593" spans="1:21">
      <c r="A593" s="2"/>
      <c r="B593" s="2"/>
      <c r="C593" s="2"/>
      <c r="D593" s="2"/>
      <c r="E593" s="2"/>
      <c r="F593" s="2"/>
      <c r="U593" s="2"/>
    </row>
    <row r="594" spans="1:21">
      <c r="A594" s="2"/>
      <c r="B594" s="2"/>
      <c r="C594" s="2"/>
      <c r="D594" s="2"/>
      <c r="E594" s="2"/>
      <c r="F594" s="2"/>
      <c r="U594" s="2"/>
    </row>
    <row r="595" spans="1:21">
      <c r="A595" s="2"/>
      <c r="B595" s="2"/>
      <c r="C595" s="2"/>
      <c r="D595" s="2"/>
      <c r="E595" s="2"/>
      <c r="F595" s="2"/>
      <c r="U595" s="2"/>
    </row>
    <row r="596" spans="1:21">
      <c r="A596" s="2"/>
      <c r="B596" s="2"/>
      <c r="C596" s="2"/>
      <c r="D596" s="2"/>
      <c r="E596" s="2"/>
      <c r="F596" s="2"/>
      <c r="U596" s="2"/>
    </row>
    <row r="597" spans="1:21">
      <c r="A597" s="2"/>
      <c r="B597" s="2"/>
      <c r="C597" s="2"/>
      <c r="D597" s="2"/>
      <c r="E597" s="2"/>
      <c r="F597" s="2"/>
      <c r="U597" s="2"/>
    </row>
    <row r="598" spans="1:21">
      <c r="A598" s="2"/>
      <c r="B598" s="2"/>
      <c r="C598" s="2"/>
      <c r="D598" s="2"/>
      <c r="E598" s="2"/>
      <c r="F598" s="2"/>
      <c r="U598" s="2"/>
    </row>
    <row r="599" spans="1:21">
      <c r="A599" s="2"/>
      <c r="B599" s="2"/>
      <c r="C599" s="2"/>
      <c r="D599" s="2"/>
      <c r="E599" s="2"/>
      <c r="F599" s="2"/>
      <c r="U599" s="2"/>
    </row>
    <row r="600" spans="1:21">
      <c r="A600" s="2"/>
      <c r="B600" s="2"/>
      <c r="C600" s="2"/>
      <c r="D600" s="2"/>
      <c r="E600" s="2"/>
      <c r="F600" s="2"/>
      <c r="U600" s="2"/>
    </row>
    <row r="601" spans="1:21">
      <c r="A601" s="2"/>
      <c r="B601" s="2"/>
      <c r="C601" s="2"/>
      <c r="D601" s="2"/>
      <c r="E601" s="2"/>
      <c r="F601" s="2"/>
      <c r="U601" s="2"/>
    </row>
    <row r="602" spans="1:21">
      <c r="A602" s="2"/>
      <c r="B602" s="2"/>
      <c r="C602" s="2"/>
      <c r="D602" s="2"/>
      <c r="E602" s="2"/>
      <c r="F602" s="2"/>
      <c r="U602" s="2"/>
    </row>
    <row r="603" spans="1:21">
      <c r="A603" s="2"/>
      <c r="B603" s="2"/>
      <c r="C603" s="2"/>
      <c r="D603" s="2"/>
      <c r="E603" s="2"/>
      <c r="F603" s="2"/>
      <c r="U603" s="2"/>
    </row>
    <row r="604" spans="1:21">
      <c r="A604" s="2"/>
      <c r="B604" s="2"/>
      <c r="C604" s="2"/>
      <c r="D604" s="2"/>
      <c r="E604" s="2"/>
      <c r="F604" s="2"/>
      <c r="U604" s="2"/>
    </row>
    <row r="605" spans="1:21">
      <c r="A605" s="2"/>
      <c r="B605" s="2"/>
      <c r="C605" s="2"/>
      <c r="D605" s="2"/>
      <c r="E605" s="2"/>
      <c r="F605" s="2"/>
      <c r="U605" s="2"/>
    </row>
    <row r="606" spans="1:21">
      <c r="A606" s="2"/>
      <c r="B606" s="2"/>
      <c r="C606" s="2"/>
      <c r="D606" s="2"/>
      <c r="E606" s="2"/>
      <c r="F606" s="2"/>
      <c r="U606" s="2"/>
    </row>
    <row r="607" spans="1:21">
      <c r="A607" s="2"/>
      <c r="B607" s="2"/>
      <c r="C607" s="2"/>
      <c r="D607" s="2"/>
      <c r="E607" s="2"/>
      <c r="F607" s="2"/>
      <c r="U607" s="2"/>
    </row>
    <row r="608" spans="1:21">
      <c r="A608" s="2"/>
      <c r="B608" s="2"/>
      <c r="C608" s="2"/>
      <c r="D608" s="2"/>
      <c r="E608" s="2"/>
      <c r="F608" s="2"/>
      <c r="U608" s="2"/>
    </row>
    <row r="609" spans="1:21">
      <c r="A609" s="2"/>
      <c r="B609" s="2"/>
      <c r="C609" s="2"/>
      <c r="D609" s="2"/>
      <c r="E609" s="2"/>
      <c r="F609" s="2"/>
      <c r="U609" s="2"/>
    </row>
    <row r="610" spans="1:21">
      <c r="A610" s="2"/>
      <c r="B610" s="2"/>
      <c r="C610" s="2"/>
      <c r="D610" s="2"/>
      <c r="E610" s="2"/>
      <c r="F610" s="2"/>
      <c r="U610" s="2"/>
    </row>
    <row r="611" spans="1:21">
      <c r="A611" s="2"/>
      <c r="B611" s="2"/>
      <c r="C611" s="2"/>
      <c r="D611" s="2"/>
      <c r="E611" s="2"/>
      <c r="F611" s="2"/>
      <c r="U611" s="2"/>
    </row>
    <row r="612" spans="1:21">
      <c r="A612" s="2"/>
      <c r="B612" s="2"/>
      <c r="C612" s="2"/>
      <c r="D612" s="2"/>
      <c r="E612" s="2"/>
      <c r="F612" s="2"/>
      <c r="U612" s="2"/>
    </row>
    <row r="613" spans="1:21">
      <c r="A613" s="2"/>
      <c r="B613" s="2"/>
      <c r="C613" s="2"/>
      <c r="D613" s="2"/>
      <c r="E613" s="2"/>
      <c r="F613" s="2"/>
      <c r="U613" s="2"/>
    </row>
    <row r="614" spans="1:21">
      <c r="A614" s="2"/>
      <c r="B614" s="2"/>
      <c r="C614" s="2"/>
      <c r="D614" s="2"/>
      <c r="E614" s="2"/>
      <c r="F614" s="2"/>
      <c r="U614" s="2"/>
    </row>
    <row r="615" spans="1:21">
      <c r="A615" s="2"/>
      <c r="B615" s="2"/>
      <c r="C615" s="2"/>
      <c r="D615" s="2"/>
      <c r="E615" s="2"/>
      <c r="F615" s="2"/>
      <c r="U615" s="2"/>
    </row>
    <row r="616" spans="1:21">
      <c r="A616" s="2"/>
      <c r="B616" s="2"/>
      <c r="C616" s="2"/>
      <c r="D616" s="2"/>
      <c r="E616" s="2"/>
      <c r="F616" s="2"/>
      <c r="U616" s="2"/>
    </row>
    <row r="617" spans="1:21">
      <c r="A617" s="2"/>
      <c r="B617" s="2"/>
      <c r="C617" s="2"/>
      <c r="D617" s="2"/>
      <c r="E617" s="2"/>
      <c r="F617" s="2"/>
      <c r="U617" s="2"/>
    </row>
    <row r="618" spans="1:21">
      <c r="A618" s="2"/>
      <c r="B618" s="2"/>
      <c r="C618" s="2"/>
      <c r="D618" s="2"/>
      <c r="E618" s="2"/>
      <c r="F618" s="2"/>
      <c r="U618" s="2"/>
    </row>
    <row r="619" spans="1:21">
      <c r="A619" s="2"/>
      <c r="B619" s="2"/>
      <c r="C619" s="2"/>
      <c r="D619" s="2"/>
      <c r="E619" s="2"/>
      <c r="F619" s="2"/>
      <c r="U619" s="2"/>
    </row>
    <row r="620" spans="1:21">
      <c r="A620" s="2"/>
      <c r="B620" s="2"/>
      <c r="C620" s="2"/>
      <c r="D620" s="2"/>
      <c r="E620" s="2"/>
      <c r="F620" s="2"/>
      <c r="U620" s="2"/>
    </row>
    <row r="621" spans="1:21">
      <c r="A621" s="2"/>
      <c r="B621" s="2"/>
      <c r="C621" s="2"/>
      <c r="D621" s="2"/>
      <c r="E621" s="2"/>
      <c r="F621" s="2"/>
      <c r="U621" s="2"/>
    </row>
    <row r="622" spans="1:21">
      <c r="A622" s="2"/>
      <c r="B622" s="2"/>
      <c r="C622" s="2"/>
      <c r="D622" s="2"/>
      <c r="E622" s="2"/>
      <c r="F622" s="2"/>
      <c r="U622" s="2"/>
    </row>
    <row r="623" spans="1:21">
      <c r="A623" s="2"/>
      <c r="B623" s="2"/>
      <c r="C623" s="2"/>
      <c r="D623" s="2"/>
      <c r="E623" s="2"/>
      <c r="F623" s="2"/>
      <c r="U623" s="2"/>
    </row>
    <row r="624" spans="1:21">
      <c r="A624" s="2"/>
      <c r="B624" s="2"/>
      <c r="C624" s="2"/>
      <c r="D624" s="2"/>
      <c r="E624" s="2"/>
      <c r="F624" s="2"/>
      <c r="U624" s="2"/>
    </row>
    <row r="625" spans="1:21">
      <c r="A625" s="2"/>
      <c r="B625" s="2"/>
      <c r="C625" s="2"/>
      <c r="D625" s="2"/>
      <c r="E625" s="2"/>
      <c r="F625" s="2"/>
      <c r="U625" s="2"/>
    </row>
    <row r="626" spans="1:21">
      <c r="A626" s="2"/>
      <c r="B626" s="2"/>
      <c r="C626" s="2"/>
      <c r="D626" s="2"/>
      <c r="E626" s="2"/>
      <c r="F626" s="2"/>
      <c r="U626" s="2"/>
    </row>
    <row r="627" spans="1:21">
      <c r="A627" s="2"/>
      <c r="B627" s="2"/>
      <c r="C627" s="2"/>
      <c r="D627" s="2"/>
      <c r="E627" s="2"/>
      <c r="F627" s="2"/>
      <c r="U627" s="2"/>
    </row>
    <row r="628" spans="1:21">
      <c r="A628" s="2"/>
      <c r="B628" s="2"/>
      <c r="C628" s="2"/>
      <c r="D628" s="2"/>
      <c r="E628" s="2"/>
      <c r="F628" s="2"/>
      <c r="U628" s="2"/>
    </row>
    <row r="629" spans="1:21">
      <c r="A629" s="2"/>
      <c r="B629" s="2"/>
      <c r="C629" s="2"/>
      <c r="D629" s="2"/>
      <c r="E629" s="2"/>
      <c r="F629" s="2"/>
      <c r="U629" s="2"/>
    </row>
    <row r="630" spans="1:21">
      <c r="A630" s="2"/>
      <c r="B630" s="2"/>
      <c r="C630" s="2"/>
      <c r="D630" s="2"/>
      <c r="E630" s="2"/>
      <c r="F630" s="2"/>
      <c r="U630" s="2"/>
    </row>
    <row r="631" spans="1:21">
      <c r="A631" s="2"/>
      <c r="B631" s="2"/>
      <c r="C631" s="2"/>
      <c r="D631" s="2"/>
      <c r="E631" s="2"/>
      <c r="F631" s="2"/>
      <c r="U631" s="2"/>
    </row>
    <row r="632" spans="1:21">
      <c r="A632" s="2"/>
      <c r="B632" s="2"/>
      <c r="C632" s="2"/>
      <c r="D632" s="2"/>
      <c r="E632" s="2"/>
      <c r="F632" s="2"/>
      <c r="U632" s="2"/>
    </row>
    <row r="633" spans="1:21">
      <c r="A633" s="2"/>
      <c r="B633" s="2"/>
      <c r="C633" s="2"/>
      <c r="D633" s="2"/>
      <c r="E633" s="2"/>
      <c r="F633" s="2"/>
      <c r="U633" s="2"/>
    </row>
    <row r="634" spans="1:21">
      <c r="A634" s="2"/>
      <c r="B634" s="2"/>
      <c r="C634" s="2"/>
      <c r="D634" s="2"/>
      <c r="E634" s="2"/>
      <c r="F634" s="2"/>
      <c r="U634" s="2"/>
    </row>
    <row r="635" spans="1:21">
      <c r="A635" s="2"/>
      <c r="B635" s="2"/>
      <c r="C635" s="2"/>
      <c r="D635" s="2"/>
      <c r="E635" s="2"/>
      <c r="F635" s="2"/>
      <c r="U635" s="2"/>
    </row>
    <row r="636" spans="1:21">
      <c r="A636" s="2"/>
      <c r="B636" s="2"/>
      <c r="C636" s="2"/>
      <c r="D636" s="2"/>
      <c r="E636" s="2"/>
      <c r="F636" s="2"/>
      <c r="U636" s="2"/>
    </row>
    <row r="637" spans="1:21">
      <c r="A637" s="2"/>
      <c r="B637" s="2"/>
      <c r="C637" s="2"/>
      <c r="D637" s="2"/>
      <c r="E637" s="2"/>
      <c r="F637" s="2"/>
      <c r="U637" s="2"/>
    </row>
    <row r="638" spans="1:21">
      <c r="A638" s="2"/>
      <c r="B638" s="2"/>
      <c r="C638" s="2"/>
      <c r="D638" s="2"/>
      <c r="E638" s="2"/>
      <c r="F638" s="2"/>
      <c r="U638" s="2"/>
    </row>
    <row r="639" spans="1:21">
      <c r="A639" s="2"/>
      <c r="B639" s="2"/>
      <c r="C639" s="2"/>
      <c r="D639" s="2"/>
      <c r="E639" s="2"/>
      <c r="F639" s="2"/>
      <c r="U639" s="2"/>
    </row>
    <row r="640" spans="1:21">
      <c r="A640" s="2"/>
      <c r="B640" s="2"/>
      <c r="C640" s="2"/>
      <c r="D640" s="2"/>
      <c r="E640" s="2"/>
      <c r="F640" s="2"/>
      <c r="U640" s="2"/>
    </row>
    <row r="641" spans="1:21">
      <c r="A641" s="2"/>
      <c r="B641" s="2"/>
      <c r="C641" s="2"/>
      <c r="D641" s="2"/>
      <c r="E641" s="2"/>
      <c r="F641" s="2"/>
      <c r="U641" s="2"/>
    </row>
    <row r="642" spans="1:21">
      <c r="A642" s="2"/>
      <c r="B642" s="2"/>
      <c r="C642" s="2"/>
      <c r="D642" s="2"/>
      <c r="E642" s="2"/>
      <c r="F642" s="2"/>
      <c r="U642" s="2"/>
    </row>
    <row r="643" spans="1:21">
      <c r="A643" s="2"/>
      <c r="B643" s="2"/>
      <c r="C643" s="2"/>
      <c r="D643" s="2"/>
      <c r="E643" s="2"/>
      <c r="F643" s="2"/>
      <c r="U643" s="2"/>
    </row>
    <row r="644" spans="1:21">
      <c r="A644" s="2"/>
      <c r="B644" s="2"/>
      <c r="C644" s="2"/>
      <c r="D644" s="2"/>
      <c r="E644" s="2"/>
      <c r="F644" s="2"/>
      <c r="U644" s="2"/>
    </row>
    <row r="645" spans="1:21">
      <c r="A645" s="2"/>
      <c r="B645" s="2"/>
      <c r="C645" s="2"/>
      <c r="D645" s="2"/>
      <c r="E645" s="2"/>
      <c r="F645" s="2"/>
      <c r="U645" s="2"/>
    </row>
    <row r="646" spans="1:21">
      <c r="A646" s="2"/>
      <c r="B646" s="2"/>
      <c r="C646" s="2"/>
      <c r="D646" s="2"/>
      <c r="E646" s="2"/>
      <c r="F646" s="2"/>
      <c r="U646" s="2"/>
    </row>
    <row r="647" spans="1:21">
      <c r="A647" s="2"/>
      <c r="B647" s="2"/>
      <c r="C647" s="2"/>
      <c r="D647" s="2"/>
      <c r="E647" s="2"/>
      <c r="F647" s="2"/>
      <c r="U647" s="2"/>
    </row>
    <row r="648" spans="1:21">
      <c r="A648" s="2"/>
      <c r="B648" s="2"/>
      <c r="C648" s="2"/>
      <c r="D648" s="2"/>
      <c r="E648" s="2"/>
      <c r="F648" s="2"/>
      <c r="U648" s="2"/>
    </row>
    <row r="649" spans="1:21">
      <c r="A649" s="2"/>
      <c r="B649" s="2"/>
      <c r="C649" s="2"/>
      <c r="D649" s="2"/>
      <c r="E649" s="2"/>
      <c r="F649" s="2"/>
      <c r="U649" s="2"/>
    </row>
    <row r="650" spans="1:21">
      <c r="A650" s="2"/>
      <c r="B650" s="2"/>
      <c r="C650" s="2"/>
      <c r="D650" s="2"/>
      <c r="E650" s="2"/>
      <c r="F650" s="2"/>
      <c r="U650" s="2"/>
    </row>
    <row r="651" spans="1:21">
      <c r="A651" s="2"/>
      <c r="B651" s="2"/>
      <c r="C651" s="2"/>
      <c r="D651" s="2"/>
      <c r="E651" s="2"/>
      <c r="F651" s="2"/>
      <c r="U651" s="2"/>
    </row>
    <row r="652" spans="1:21">
      <c r="A652" s="2"/>
      <c r="B652" s="2"/>
      <c r="C652" s="2"/>
      <c r="D652" s="2"/>
      <c r="E652" s="2"/>
      <c r="F652" s="2"/>
      <c r="U652" s="2"/>
    </row>
    <row r="653" spans="1:21">
      <c r="A653" s="2"/>
      <c r="B653" s="2"/>
      <c r="C653" s="2"/>
      <c r="D653" s="2"/>
      <c r="E653" s="2"/>
      <c r="F653" s="2"/>
      <c r="U653" s="2"/>
    </row>
    <row r="654" spans="1:21">
      <c r="A654" s="2"/>
      <c r="B654" s="2"/>
      <c r="C654" s="2"/>
      <c r="D654" s="2"/>
      <c r="E654" s="2"/>
      <c r="F654" s="2"/>
      <c r="U654" s="2"/>
    </row>
    <row r="655" spans="1:21">
      <c r="A655" s="2"/>
      <c r="B655" s="2"/>
      <c r="C655" s="2"/>
      <c r="D655" s="2"/>
      <c r="E655" s="2"/>
      <c r="F655" s="2"/>
      <c r="U655" s="2"/>
    </row>
    <row r="656" spans="1:21">
      <c r="A656" s="2"/>
      <c r="B656" s="2"/>
      <c r="C656" s="2"/>
      <c r="D656" s="2"/>
      <c r="E656" s="2"/>
      <c r="F656" s="2"/>
      <c r="U656" s="2"/>
    </row>
    <row r="657" spans="1:21">
      <c r="A657" s="2"/>
      <c r="B657" s="2"/>
      <c r="C657" s="2"/>
      <c r="D657" s="2"/>
      <c r="E657" s="2"/>
      <c r="F657" s="2"/>
      <c r="U657" s="2"/>
    </row>
    <row r="658" spans="1:21">
      <c r="A658" s="2"/>
      <c r="B658" s="2"/>
      <c r="C658" s="2"/>
      <c r="D658" s="2"/>
      <c r="E658" s="2"/>
      <c r="F658" s="2"/>
      <c r="U658" s="2"/>
    </row>
    <row r="659" spans="1:21">
      <c r="A659" s="2"/>
      <c r="B659" s="2"/>
      <c r="C659" s="2"/>
      <c r="D659" s="2"/>
      <c r="E659" s="2"/>
      <c r="F659" s="2"/>
      <c r="U659" s="2"/>
    </row>
    <row r="660" spans="1:21">
      <c r="A660" s="2"/>
      <c r="B660" s="2"/>
      <c r="C660" s="2"/>
      <c r="D660" s="2"/>
      <c r="E660" s="2"/>
      <c r="F660" s="2"/>
      <c r="U660" s="2"/>
    </row>
    <row r="661" spans="1:21">
      <c r="A661" s="2"/>
      <c r="B661" s="2"/>
      <c r="C661" s="2"/>
      <c r="D661" s="2"/>
      <c r="E661" s="2"/>
      <c r="F661" s="2"/>
      <c r="U661" s="2"/>
    </row>
    <row r="662" spans="1:21">
      <c r="A662" s="2"/>
      <c r="B662" s="2"/>
      <c r="C662" s="2"/>
      <c r="D662" s="2"/>
      <c r="E662" s="2"/>
      <c r="F662" s="2"/>
      <c r="U662" s="2"/>
    </row>
    <row r="663" spans="1:21">
      <c r="A663" s="2"/>
      <c r="B663" s="2"/>
      <c r="C663" s="2"/>
      <c r="D663" s="2"/>
      <c r="E663" s="2"/>
      <c r="F663" s="2"/>
      <c r="U663" s="2"/>
    </row>
    <row r="664" spans="1:21">
      <c r="A664" s="2"/>
      <c r="B664" s="2"/>
      <c r="C664" s="2"/>
      <c r="D664" s="2"/>
      <c r="E664" s="2"/>
      <c r="F664" s="2"/>
      <c r="U664" s="2"/>
    </row>
    <row r="665" spans="1:21">
      <c r="A665" s="2"/>
      <c r="B665" s="2"/>
      <c r="C665" s="2"/>
      <c r="D665" s="2"/>
      <c r="E665" s="2"/>
      <c r="F665" s="2"/>
      <c r="U665" s="2"/>
    </row>
    <row r="666" spans="1:21">
      <c r="A666" s="2"/>
      <c r="B666" s="2"/>
      <c r="C666" s="2"/>
      <c r="D666" s="2"/>
      <c r="E666" s="2"/>
      <c r="F666" s="2"/>
      <c r="U666" s="2"/>
    </row>
    <row r="667" spans="1:21">
      <c r="A667" s="2"/>
      <c r="B667" s="2"/>
      <c r="C667" s="2"/>
      <c r="D667" s="2"/>
      <c r="E667" s="2"/>
      <c r="F667" s="2"/>
      <c r="U667" s="2"/>
    </row>
    <row r="668" spans="1:21">
      <c r="A668" s="2"/>
      <c r="B668" s="2"/>
      <c r="C668" s="2"/>
      <c r="D668" s="2"/>
      <c r="E668" s="2"/>
      <c r="F668" s="2"/>
      <c r="U668" s="2"/>
    </row>
    <row r="669" spans="1:21">
      <c r="A669" s="2"/>
      <c r="B669" s="2"/>
      <c r="C669" s="2"/>
      <c r="D669" s="2"/>
      <c r="E669" s="2"/>
      <c r="F669" s="2"/>
      <c r="U669" s="2"/>
    </row>
    <row r="670" spans="1:21">
      <c r="A670" s="2"/>
      <c r="B670" s="2"/>
      <c r="C670" s="2"/>
      <c r="D670" s="2"/>
      <c r="E670" s="2"/>
      <c r="F670" s="2"/>
      <c r="U670" s="2"/>
    </row>
    <row r="671" spans="1:21">
      <c r="A671" s="2"/>
      <c r="B671" s="2"/>
      <c r="C671" s="2"/>
      <c r="D671" s="2"/>
      <c r="E671" s="2"/>
      <c r="F671" s="2"/>
      <c r="U671" s="2"/>
    </row>
    <row r="672" spans="1:21">
      <c r="A672" s="2"/>
      <c r="B672" s="2"/>
      <c r="C672" s="2"/>
      <c r="D672" s="2"/>
      <c r="E672" s="2"/>
      <c r="F672" s="2"/>
      <c r="U672" s="2"/>
    </row>
    <row r="673" spans="1:21">
      <c r="A673" s="2"/>
      <c r="B673" s="2"/>
      <c r="C673" s="2"/>
      <c r="D673" s="2"/>
      <c r="E673" s="2"/>
      <c r="F673" s="2"/>
      <c r="U673" s="2"/>
    </row>
    <row r="674" spans="1:21">
      <c r="A674" s="2"/>
      <c r="B674" s="2"/>
      <c r="C674" s="2"/>
      <c r="D674" s="2"/>
      <c r="E674" s="2"/>
      <c r="F674" s="2"/>
      <c r="U674" s="2"/>
    </row>
    <row r="675" spans="1:21">
      <c r="A675" s="2"/>
      <c r="B675" s="2"/>
      <c r="C675" s="2"/>
      <c r="D675" s="2"/>
      <c r="E675" s="2"/>
      <c r="F675" s="2"/>
      <c r="U675" s="2"/>
    </row>
    <row r="676" spans="1:21">
      <c r="A676" s="2"/>
      <c r="B676" s="2"/>
      <c r="C676" s="2"/>
      <c r="D676" s="2"/>
      <c r="E676" s="2"/>
      <c r="F676" s="2"/>
      <c r="U676" s="2"/>
    </row>
    <row r="677" spans="1:21">
      <c r="A677" s="2"/>
      <c r="B677" s="2"/>
      <c r="C677" s="2"/>
      <c r="D677" s="2"/>
      <c r="E677" s="2"/>
      <c r="F677" s="2"/>
      <c r="U677" s="2"/>
    </row>
    <row r="678" spans="1:21">
      <c r="A678" s="2"/>
      <c r="B678" s="2"/>
      <c r="C678" s="2"/>
      <c r="D678" s="2"/>
      <c r="E678" s="2"/>
      <c r="F678" s="2"/>
      <c r="U678" s="2"/>
    </row>
    <row r="679" spans="1:21">
      <c r="A679" s="2"/>
      <c r="B679" s="2"/>
      <c r="C679" s="2"/>
      <c r="D679" s="2"/>
      <c r="E679" s="2"/>
      <c r="F679" s="2"/>
      <c r="U679" s="2"/>
    </row>
    <row r="680" spans="1:21">
      <c r="A680" s="2"/>
      <c r="B680" s="2"/>
      <c r="C680" s="2"/>
      <c r="D680" s="2"/>
      <c r="E680" s="2"/>
      <c r="F680" s="2"/>
      <c r="U680" s="2"/>
    </row>
    <row r="681" spans="1:21">
      <c r="A681" s="2"/>
      <c r="B681" s="2"/>
      <c r="C681" s="2"/>
      <c r="D681" s="2"/>
      <c r="E681" s="2"/>
      <c r="F681" s="2"/>
      <c r="U681" s="2"/>
    </row>
    <row r="682" spans="1:21">
      <c r="A682" s="2"/>
      <c r="B682" s="2"/>
      <c r="C682" s="2"/>
      <c r="D682" s="2"/>
      <c r="E682" s="2"/>
      <c r="F682" s="2"/>
      <c r="U682" s="2"/>
    </row>
    <row r="683" spans="1:21">
      <c r="A683" s="2"/>
      <c r="B683" s="2"/>
      <c r="C683" s="2"/>
      <c r="D683" s="2"/>
      <c r="E683" s="2"/>
      <c r="F683" s="2"/>
      <c r="U683" s="2"/>
    </row>
    <row r="684" spans="1:21">
      <c r="A684" s="2"/>
      <c r="B684" s="2"/>
      <c r="C684" s="2"/>
      <c r="D684" s="2"/>
      <c r="E684" s="2"/>
      <c r="F684" s="2"/>
      <c r="U684" s="2"/>
    </row>
    <row r="685" spans="1:21">
      <c r="A685" s="2"/>
      <c r="B685" s="2"/>
      <c r="C685" s="2"/>
      <c r="D685" s="2"/>
      <c r="E685" s="2"/>
      <c r="F685" s="2"/>
      <c r="U685" s="2"/>
    </row>
    <row r="686" spans="1:21">
      <c r="A686" s="2"/>
      <c r="B686" s="2"/>
      <c r="C686" s="2"/>
      <c r="D686" s="2"/>
      <c r="E686" s="2"/>
      <c r="F686" s="2"/>
      <c r="U686" s="2"/>
    </row>
    <row r="687" spans="1:21">
      <c r="A687" s="2"/>
      <c r="B687" s="2"/>
      <c r="C687" s="2"/>
      <c r="D687" s="2"/>
      <c r="E687" s="2"/>
      <c r="F687" s="2"/>
      <c r="U687" s="2"/>
    </row>
    <row r="688" spans="1:21">
      <c r="A688" s="2"/>
      <c r="B688" s="2"/>
      <c r="C688" s="2"/>
      <c r="D688" s="2"/>
      <c r="E688" s="2"/>
      <c r="F688" s="2"/>
      <c r="U688" s="2"/>
    </row>
    <row r="689" spans="1:21">
      <c r="A689" s="2"/>
      <c r="B689" s="2"/>
      <c r="C689" s="2"/>
      <c r="D689" s="2"/>
      <c r="E689" s="2"/>
      <c r="F689" s="2"/>
      <c r="U689" s="2"/>
    </row>
    <row r="690" spans="1:21">
      <c r="A690" s="2"/>
      <c r="B690" s="2"/>
      <c r="C690" s="2"/>
      <c r="D690" s="2"/>
      <c r="E690" s="2"/>
      <c r="F690" s="2"/>
      <c r="U690" s="2"/>
    </row>
    <row r="691" spans="1:21">
      <c r="A691" s="2"/>
      <c r="B691" s="2"/>
      <c r="C691" s="2"/>
      <c r="D691" s="2"/>
      <c r="E691" s="2"/>
      <c r="F691" s="2"/>
      <c r="U691" s="2"/>
    </row>
    <row r="692" spans="1:21">
      <c r="A692" s="2"/>
      <c r="B692" s="2"/>
      <c r="C692" s="2"/>
      <c r="D692" s="2"/>
      <c r="E692" s="2"/>
      <c r="F692" s="2"/>
      <c r="U692" s="2"/>
    </row>
    <row r="693" spans="1:21">
      <c r="A693" s="2"/>
      <c r="B693" s="2"/>
      <c r="C693" s="2"/>
      <c r="D693" s="2"/>
      <c r="E693" s="2"/>
      <c r="F693" s="2"/>
      <c r="U693" s="2"/>
    </row>
    <row r="694" spans="1:21">
      <c r="A694" s="2"/>
      <c r="B694" s="2"/>
      <c r="C694" s="2"/>
      <c r="D694" s="2"/>
      <c r="E694" s="2"/>
      <c r="F694" s="2"/>
      <c r="U694" s="2"/>
    </row>
    <row r="695" spans="1:21">
      <c r="A695" s="2"/>
      <c r="B695" s="2"/>
      <c r="C695" s="2"/>
      <c r="D695" s="2"/>
      <c r="E695" s="2"/>
      <c r="F695" s="2"/>
      <c r="U695" s="2"/>
    </row>
    <row r="696" spans="1:21">
      <c r="A696" s="2"/>
      <c r="B696" s="2"/>
      <c r="C696" s="2"/>
      <c r="D696" s="2"/>
      <c r="E696" s="2"/>
      <c r="F696" s="2"/>
      <c r="U696" s="2"/>
    </row>
    <row r="697" spans="1:21">
      <c r="A697" s="2"/>
      <c r="B697" s="2"/>
      <c r="C697" s="2"/>
      <c r="D697" s="2"/>
      <c r="E697" s="2"/>
      <c r="F697" s="2"/>
      <c r="U697" s="2"/>
    </row>
    <row r="698" spans="1:21">
      <c r="A698" s="2"/>
      <c r="B698" s="2"/>
      <c r="C698" s="2"/>
      <c r="D698" s="2"/>
      <c r="E698" s="2"/>
      <c r="F698" s="2"/>
      <c r="U698" s="2"/>
    </row>
    <row r="699" spans="1:21">
      <c r="A699" s="2"/>
      <c r="B699" s="2"/>
      <c r="C699" s="2"/>
      <c r="D699" s="2"/>
      <c r="E699" s="2"/>
      <c r="F699" s="2"/>
      <c r="U699" s="2"/>
    </row>
    <row r="700" spans="1:21">
      <c r="A700" s="2"/>
      <c r="B700" s="2"/>
      <c r="C700" s="2"/>
      <c r="D700" s="2"/>
      <c r="E700" s="2"/>
      <c r="F700" s="2"/>
      <c r="U700" s="2"/>
    </row>
    <row r="701" spans="1:21">
      <c r="A701" s="2"/>
      <c r="B701" s="2"/>
      <c r="C701" s="2"/>
      <c r="D701" s="2"/>
      <c r="E701" s="2"/>
      <c r="F701" s="2"/>
      <c r="U701" s="2"/>
    </row>
    <row r="702" spans="1:21">
      <c r="A702" s="2"/>
      <c r="B702" s="2"/>
      <c r="C702" s="2"/>
      <c r="D702" s="2"/>
      <c r="E702" s="2"/>
      <c r="F702" s="2"/>
      <c r="U702" s="2"/>
    </row>
    <row r="703" spans="1:21">
      <c r="A703" s="2"/>
      <c r="B703" s="2"/>
      <c r="C703" s="2"/>
      <c r="D703" s="2"/>
      <c r="E703" s="2"/>
      <c r="F703" s="2"/>
      <c r="U703" s="2"/>
    </row>
    <row r="704" spans="1:21">
      <c r="A704" s="2"/>
      <c r="B704" s="2"/>
      <c r="C704" s="2"/>
      <c r="D704" s="2"/>
      <c r="E704" s="2"/>
      <c r="F704" s="2"/>
      <c r="U704" s="2"/>
    </row>
    <row r="705" spans="1:21">
      <c r="A705" s="2"/>
      <c r="B705" s="2"/>
      <c r="C705" s="2"/>
      <c r="D705" s="2"/>
      <c r="E705" s="2"/>
      <c r="F705" s="2"/>
      <c r="U705" s="2"/>
    </row>
    <row r="706" spans="1:21">
      <c r="A706" s="2"/>
      <c r="B706" s="2"/>
      <c r="C706" s="2"/>
      <c r="D706" s="2"/>
      <c r="E706" s="2"/>
      <c r="F706" s="2"/>
      <c r="U706" s="2"/>
    </row>
    <row r="707" spans="1:21">
      <c r="A707" s="2"/>
      <c r="B707" s="2"/>
      <c r="C707" s="2"/>
      <c r="D707" s="2"/>
      <c r="E707" s="2"/>
      <c r="F707" s="2"/>
      <c r="U707" s="2"/>
    </row>
    <row r="708" spans="1:21">
      <c r="A708" s="2"/>
      <c r="B708" s="2"/>
      <c r="C708" s="2"/>
      <c r="D708" s="2"/>
      <c r="E708" s="2"/>
      <c r="F708" s="2"/>
      <c r="U708" s="2"/>
    </row>
    <row r="709" spans="1:21">
      <c r="A709" s="2"/>
      <c r="B709" s="2"/>
      <c r="C709" s="2"/>
      <c r="D709" s="2"/>
      <c r="E709" s="2"/>
      <c r="F709" s="2"/>
      <c r="U709" s="2"/>
    </row>
    <row r="710" spans="1:21">
      <c r="A710" s="2"/>
      <c r="B710" s="2"/>
      <c r="C710" s="2"/>
      <c r="D710" s="2"/>
      <c r="E710" s="2"/>
      <c r="F710" s="2"/>
      <c r="U710" s="2"/>
    </row>
    <row r="711" spans="1:21">
      <c r="A711" s="2"/>
      <c r="B711" s="2"/>
      <c r="C711" s="2"/>
      <c r="D711" s="2"/>
      <c r="E711" s="2"/>
      <c r="F711" s="2"/>
      <c r="U711" s="2"/>
    </row>
    <row r="712" spans="1:21">
      <c r="A712" s="2"/>
      <c r="B712" s="2"/>
      <c r="C712" s="2"/>
      <c r="D712" s="2"/>
      <c r="E712" s="2"/>
      <c r="F712" s="2"/>
      <c r="U712" s="2"/>
    </row>
    <row r="713" spans="1:21">
      <c r="A713" s="2"/>
      <c r="B713" s="2"/>
      <c r="C713" s="2"/>
      <c r="D713" s="2"/>
      <c r="E713" s="2"/>
      <c r="F713" s="2"/>
      <c r="U713" s="2"/>
    </row>
    <row r="714" spans="1:21">
      <c r="A714" s="2"/>
      <c r="B714" s="2"/>
      <c r="C714" s="2"/>
      <c r="D714" s="2"/>
      <c r="E714" s="2"/>
      <c r="F714" s="2"/>
      <c r="U714" s="2"/>
    </row>
    <row r="715" spans="1:21">
      <c r="A715" s="2"/>
      <c r="B715" s="2"/>
      <c r="C715" s="2"/>
      <c r="D715" s="2"/>
      <c r="E715" s="2"/>
      <c r="F715" s="2"/>
      <c r="U715" s="2"/>
    </row>
    <row r="716" spans="1:21">
      <c r="A716" s="2"/>
      <c r="B716" s="2"/>
      <c r="C716" s="2"/>
      <c r="D716" s="2"/>
      <c r="E716" s="2"/>
      <c r="F716" s="2"/>
      <c r="U716" s="2"/>
    </row>
    <row r="717" spans="1:21">
      <c r="A717" s="2"/>
      <c r="B717" s="2"/>
      <c r="C717" s="2"/>
      <c r="D717" s="2"/>
      <c r="E717" s="2"/>
      <c r="F717" s="2"/>
      <c r="U717" s="2"/>
    </row>
    <row r="718" spans="1:21">
      <c r="A718" s="2"/>
      <c r="B718" s="2"/>
      <c r="C718" s="2"/>
      <c r="D718" s="2"/>
      <c r="E718" s="2"/>
      <c r="F718" s="2"/>
      <c r="U718" s="2"/>
    </row>
    <row r="719" spans="1:21">
      <c r="A719" s="2"/>
      <c r="B719" s="2"/>
      <c r="C719" s="2"/>
      <c r="D719" s="2"/>
      <c r="E719" s="2"/>
      <c r="F719" s="2"/>
      <c r="U719" s="2"/>
    </row>
    <row r="720" spans="1:21">
      <c r="A720" s="2"/>
      <c r="B720" s="2"/>
      <c r="C720" s="2"/>
      <c r="D720" s="2"/>
      <c r="E720" s="2"/>
      <c r="F720" s="2"/>
      <c r="U720" s="2"/>
    </row>
    <row r="721" spans="1:21">
      <c r="A721" s="2"/>
      <c r="B721" s="2"/>
      <c r="C721" s="2"/>
      <c r="D721" s="2"/>
      <c r="E721" s="2"/>
      <c r="F721" s="2"/>
      <c r="U721" s="2"/>
    </row>
    <row r="722" spans="1:21">
      <c r="A722" s="2"/>
      <c r="B722" s="2"/>
      <c r="C722" s="2"/>
      <c r="D722" s="2"/>
      <c r="E722" s="2"/>
      <c r="F722" s="2"/>
      <c r="U722" s="2"/>
    </row>
    <row r="723" spans="1:21">
      <c r="A723" s="2"/>
      <c r="B723" s="2"/>
      <c r="C723" s="2"/>
      <c r="D723" s="2"/>
      <c r="E723" s="2"/>
      <c r="F723" s="2"/>
      <c r="U723" s="2"/>
    </row>
    <row r="724" spans="1:21">
      <c r="A724" s="2"/>
      <c r="B724" s="2"/>
      <c r="C724" s="2"/>
      <c r="D724" s="2"/>
      <c r="E724" s="2"/>
      <c r="F724" s="2"/>
      <c r="U724" s="2"/>
    </row>
    <row r="725" spans="1:21">
      <c r="A725" s="2"/>
      <c r="B725" s="2"/>
      <c r="C725" s="2"/>
      <c r="D725" s="2"/>
      <c r="E725" s="2"/>
      <c r="F725" s="2"/>
      <c r="U725" s="2"/>
    </row>
    <row r="726" spans="1:21">
      <c r="A726" s="2"/>
      <c r="B726" s="2"/>
      <c r="C726" s="2"/>
      <c r="D726" s="2"/>
      <c r="E726" s="2"/>
      <c r="F726" s="2"/>
      <c r="U726" s="2"/>
    </row>
    <row r="727" spans="1:21">
      <c r="A727" s="2"/>
      <c r="B727" s="2"/>
      <c r="C727" s="2"/>
      <c r="D727" s="2"/>
      <c r="E727" s="2"/>
      <c r="F727" s="2"/>
      <c r="U727" s="2"/>
    </row>
    <row r="728" spans="1:21">
      <c r="A728" s="2"/>
      <c r="B728" s="2"/>
      <c r="C728" s="2"/>
      <c r="D728" s="2"/>
      <c r="E728" s="2"/>
      <c r="F728" s="2"/>
      <c r="U728" s="2"/>
    </row>
    <row r="729" spans="1:21">
      <c r="A729" s="2"/>
      <c r="B729" s="2"/>
      <c r="C729" s="2"/>
      <c r="D729" s="2"/>
      <c r="E729" s="2"/>
      <c r="F729" s="2"/>
      <c r="U729" s="2"/>
    </row>
    <row r="730" spans="1:21">
      <c r="A730" s="2"/>
      <c r="B730" s="2"/>
      <c r="C730" s="2"/>
      <c r="D730" s="2"/>
      <c r="E730" s="2"/>
      <c r="F730" s="2"/>
      <c r="U730" s="2"/>
    </row>
    <row r="731" spans="1:21">
      <c r="A731" s="2"/>
      <c r="B731" s="2"/>
      <c r="C731" s="2"/>
      <c r="D731" s="2"/>
      <c r="E731" s="2"/>
      <c r="F731" s="2"/>
      <c r="U731" s="2"/>
    </row>
    <row r="732" spans="1:21">
      <c r="A732" s="2"/>
      <c r="B732" s="2"/>
      <c r="C732" s="2"/>
      <c r="D732" s="2"/>
      <c r="E732" s="2"/>
      <c r="F732" s="2"/>
      <c r="U732" s="2"/>
    </row>
    <row r="733" spans="1:21">
      <c r="A733" s="2"/>
      <c r="B733" s="2"/>
      <c r="C733" s="2"/>
      <c r="D733" s="2"/>
      <c r="E733" s="2"/>
      <c r="F733" s="2"/>
      <c r="U733" s="2"/>
    </row>
    <row r="734" spans="1:21">
      <c r="A734" s="2"/>
      <c r="B734" s="2"/>
      <c r="C734" s="2"/>
      <c r="D734" s="2"/>
      <c r="E734" s="2"/>
      <c r="F734" s="2"/>
      <c r="U734" s="2"/>
    </row>
    <row r="735" spans="1:21">
      <c r="A735" s="2"/>
      <c r="B735" s="2"/>
      <c r="C735" s="2"/>
      <c r="D735" s="2"/>
      <c r="E735" s="2"/>
      <c r="F735" s="2"/>
      <c r="U735" s="2"/>
    </row>
    <row r="736" spans="1:21">
      <c r="A736" s="2"/>
      <c r="B736" s="2"/>
      <c r="C736" s="2"/>
      <c r="D736" s="2"/>
      <c r="E736" s="2"/>
      <c r="F736" s="2"/>
      <c r="U736" s="2"/>
    </row>
    <row r="737" spans="1:21">
      <c r="A737" s="2"/>
      <c r="B737" s="2"/>
      <c r="C737" s="2"/>
      <c r="D737" s="2"/>
      <c r="E737" s="2"/>
      <c r="F737" s="2"/>
      <c r="U737" s="2"/>
    </row>
    <row r="738" spans="1:21">
      <c r="A738" s="2"/>
      <c r="B738" s="2"/>
      <c r="C738" s="2"/>
      <c r="D738" s="2"/>
      <c r="E738" s="2"/>
      <c r="F738" s="2"/>
      <c r="U738" s="2"/>
    </row>
    <row r="739" spans="1:21">
      <c r="A739" s="2"/>
      <c r="B739" s="2"/>
      <c r="C739" s="2"/>
      <c r="D739" s="2"/>
      <c r="E739" s="2"/>
      <c r="F739" s="2"/>
      <c r="U739" s="2"/>
    </row>
    <row r="740" spans="1:21">
      <c r="A740" s="2"/>
      <c r="B740" s="2"/>
      <c r="C740" s="2"/>
      <c r="D740" s="2"/>
      <c r="E740" s="2"/>
      <c r="F740" s="2"/>
      <c r="U740" s="2"/>
    </row>
    <row r="741" spans="1:21">
      <c r="A741" s="2"/>
      <c r="B741" s="2"/>
      <c r="C741" s="2"/>
      <c r="D741" s="2"/>
      <c r="E741" s="2"/>
      <c r="F741" s="2"/>
      <c r="U741" s="2"/>
    </row>
    <row r="742" spans="1:21">
      <c r="A742" s="2"/>
      <c r="B742" s="2"/>
      <c r="C742" s="2"/>
      <c r="D742" s="2"/>
      <c r="E742" s="2"/>
      <c r="F742" s="2"/>
      <c r="U742" s="2"/>
    </row>
    <row r="743" spans="1:21">
      <c r="A743" s="2"/>
      <c r="B743" s="2"/>
      <c r="C743" s="2"/>
      <c r="D743" s="2"/>
      <c r="E743" s="2"/>
      <c r="F743" s="2"/>
      <c r="U743" s="2"/>
    </row>
    <row r="744" spans="1:21">
      <c r="A744" s="2"/>
      <c r="B744" s="2"/>
      <c r="C744" s="2"/>
      <c r="D744" s="2"/>
      <c r="E744" s="2"/>
      <c r="F744" s="2"/>
      <c r="U744" s="2"/>
    </row>
    <row r="745" spans="1:21">
      <c r="A745" s="2"/>
      <c r="B745" s="2"/>
      <c r="C745" s="2"/>
      <c r="D745" s="2"/>
      <c r="E745" s="2"/>
      <c r="F745" s="2"/>
      <c r="U745" s="2"/>
    </row>
    <row r="746" spans="1:21">
      <c r="A746" s="2"/>
      <c r="B746" s="2"/>
      <c r="C746" s="2"/>
      <c r="D746" s="2"/>
      <c r="E746" s="2"/>
      <c r="F746" s="2"/>
      <c r="U746" s="2"/>
    </row>
    <row r="747" spans="1:21">
      <c r="A747" s="2"/>
      <c r="B747" s="2"/>
      <c r="C747" s="2"/>
      <c r="D747" s="2"/>
      <c r="E747" s="2"/>
      <c r="F747" s="2"/>
      <c r="U747" s="2"/>
    </row>
    <row r="748" spans="1:21">
      <c r="A748" s="2"/>
      <c r="B748" s="2"/>
      <c r="C748" s="2"/>
      <c r="D748" s="2"/>
      <c r="E748" s="2"/>
      <c r="F748" s="2"/>
      <c r="U748" s="2"/>
    </row>
    <row r="749" spans="1:21">
      <c r="A749" s="2"/>
      <c r="B749" s="2"/>
      <c r="C749" s="2"/>
      <c r="D749" s="2"/>
      <c r="E749" s="2"/>
      <c r="F749" s="2"/>
      <c r="U749" s="2"/>
    </row>
    <row r="750" spans="1:21">
      <c r="A750" s="2"/>
      <c r="B750" s="2"/>
      <c r="C750" s="2"/>
      <c r="D750" s="2"/>
      <c r="E750" s="2"/>
      <c r="F750" s="2"/>
      <c r="U750" s="2"/>
    </row>
    <row r="751" spans="1:21">
      <c r="A751" s="2"/>
      <c r="B751" s="2"/>
      <c r="C751" s="2"/>
      <c r="D751" s="2"/>
      <c r="E751" s="2"/>
      <c r="F751" s="2"/>
      <c r="U751" s="2"/>
    </row>
    <row r="752" spans="1:21">
      <c r="A752" s="2"/>
      <c r="B752" s="2"/>
      <c r="C752" s="2"/>
      <c r="D752" s="2"/>
      <c r="E752" s="2"/>
      <c r="F752" s="2"/>
      <c r="U752" s="2"/>
    </row>
    <row r="753" spans="1:21">
      <c r="A753" s="2"/>
      <c r="B753" s="2"/>
      <c r="C753" s="2"/>
      <c r="D753" s="2"/>
      <c r="E753" s="2"/>
      <c r="F753" s="2"/>
      <c r="U753" s="2"/>
    </row>
    <row r="754" spans="1:21">
      <c r="A754" s="2"/>
      <c r="B754" s="2"/>
      <c r="C754" s="2"/>
      <c r="D754" s="2"/>
      <c r="E754" s="2"/>
      <c r="F754" s="2"/>
      <c r="U754" s="2"/>
    </row>
    <row r="755" spans="1:21">
      <c r="A755" s="2"/>
      <c r="B755" s="2"/>
      <c r="C755" s="2"/>
      <c r="D755" s="2"/>
      <c r="E755" s="2"/>
      <c r="F755" s="2"/>
      <c r="U755" s="2"/>
    </row>
    <row r="756" spans="1:21">
      <c r="A756" s="2"/>
      <c r="B756" s="2"/>
      <c r="C756" s="2"/>
      <c r="D756" s="2"/>
      <c r="E756" s="2"/>
      <c r="F756" s="2"/>
      <c r="U756" s="2"/>
    </row>
    <row r="757" spans="1:21">
      <c r="A757" s="2"/>
      <c r="B757" s="2"/>
      <c r="C757" s="2"/>
      <c r="D757" s="2"/>
      <c r="E757" s="2"/>
      <c r="F757" s="2"/>
      <c r="U757" s="2"/>
    </row>
    <row r="758" spans="1:21">
      <c r="A758" s="2"/>
      <c r="B758" s="2"/>
      <c r="C758" s="2"/>
      <c r="D758" s="2"/>
      <c r="E758" s="2"/>
      <c r="F758" s="2"/>
      <c r="U758" s="2"/>
    </row>
    <row r="759" spans="1:21">
      <c r="A759" s="2"/>
      <c r="B759" s="2"/>
      <c r="C759" s="2"/>
      <c r="D759" s="2"/>
      <c r="E759" s="2"/>
      <c r="F759" s="2"/>
      <c r="U759" s="2"/>
    </row>
    <row r="760" spans="1:21">
      <c r="A760" s="2"/>
      <c r="B760" s="2"/>
      <c r="C760" s="2"/>
      <c r="D760" s="2"/>
      <c r="E760" s="2"/>
      <c r="F760" s="2"/>
      <c r="U760" s="2"/>
    </row>
    <row r="761" spans="1:21">
      <c r="A761" s="2"/>
      <c r="B761" s="2"/>
      <c r="C761" s="2"/>
      <c r="D761" s="2"/>
      <c r="E761" s="2"/>
      <c r="F761" s="2"/>
      <c r="U761" s="2"/>
    </row>
    <row r="762" spans="1:21">
      <c r="A762" s="2"/>
      <c r="B762" s="2"/>
      <c r="C762" s="2"/>
      <c r="D762" s="2"/>
      <c r="E762" s="2"/>
      <c r="F762" s="2"/>
      <c r="U762" s="2"/>
    </row>
    <row r="763" spans="1:21">
      <c r="A763" s="2"/>
      <c r="B763" s="2"/>
      <c r="C763" s="2"/>
      <c r="D763" s="2"/>
      <c r="E763" s="2"/>
      <c r="F763" s="2"/>
      <c r="U763" s="2"/>
    </row>
    <row r="764" spans="1:21">
      <c r="A764" s="2"/>
      <c r="B764" s="2"/>
      <c r="C764" s="2"/>
      <c r="D764" s="2"/>
      <c r="E764" s="2"/>
      <c r="F764" s="2"/>
      <c r="U764" s="2"/>
    </row>
    <row r="765" spans="1:21">
      <c r="A765" s="2"/>
      <c r="B765" s="2"/>
      <c r="C765" s="2"/>
      <c r="D765" s="2"/>
      <c r="E765" s="2"/>
      <c r="F765" s="2"/>
      <c r="U765" s="2"/>
    </row>
    <row r="766" spans="1:21">
      <c r="A766" s="2"/>
      <c r="B766" s="2"/>
      <c r="C766" s="2"/>
      <c r="D766" s="2"/>
      <c r="E766" s="2"/>
      <c r="F766" s="2"/>
      <c r="U766" s="2"/>
    </row>
    <row r="767" spans="1:21">
      <c r="A767" s="2"/>
      <c r="B767" s="2"/>
      <c r="C767" s="2"/>
      <c r="D767" s="2"/>
      <c r="E767" s="2"/>
      <c r="F767" s="2"/>
      <c r="U767" s="2"/>
    </row>
    <row r="768" spans="1:21">
      <c r="A768" s="2"/>
      <c r="B768" s="2"/>
      <c r="C768" s="2"/>
      <c r="D768" s="2"/>
      <c r="E768" s="2"/>
      <c r="F768" s="2"/>
      <c r="U768" s="2"/>
    </row>
    <row r="769" spans="1:21">
      <c r="A769" s="2"/>
      <c r="B769" s="2"/>
      <c r="C769" s="2"/>
      <c r="D769" s="2"/>
      <c r="E769" s="2"/>
      <c r="F769" s="2"/>
      <c r="U769" s="2"/>
    </row>
    <row r="770" spans="1:21">
      <c r="A770" s="2"/>
      <c r="B770" s="2"/>
      <c r="C770" s="2"/>
      <c r="D770" s="2"/>
      <c r="E770" s="2"/>
      <c r="F770" s="2"/>
      <c r="U770" s="2"/>
    </row>
    <row r="771" spans="1:21">
      <c r="A771" s="2"/>
      <c r="B771" s="2"/>
      <c r="C771" s="2"/>
      <c r="D771" s="2"/>
      <c r="E771" s="2"/>
      <c r="F771" s="2"/>
      <c r="U771" s="2"/>
    </row>
    <row r="772" spans="1:21">
      <c r="A772" s="2"/>
      <c r="B772" s="2"/>
      <c r="C772" s="2"/>
      <c r="D772" s="2"/>
      <c r="E772" s="2"/>
      <c r="F772" s="2"/>
      <c r="U772" s="2"/>
    </row>
    <row r="773" spans="1:21">
      <c r="A773" s="2"/>
      <c r="B773" s="2"/>
      <c r="C773" s="2"/>
      <c r="D773" s="2"/>
      <c r="E773" s="2"/>
      <c r="F773" s="2"/>
      <c r="U773" s="2"/>
    </row>
    <row r="774" spans="1:21">
      <c r="A774" s="2"/>
      <c r="B774" s="2"/>
      <c r="C774" s="2"/>
      <c r="D774" s="2"/>
      <c r="E774" s="2"/>
      <c r="F774" s="2"/>
      <c r="U774" s="2"/>
    </row>
    <row r="775" spans="1:21">
      <c r="A775" s="2"/>
      <c r="B775" s="2"/>
      <c r="C775" s="2"/>
      <c r="D775" s="2"/>
      <c r="E775" s="2"/>
      <c r="F775" s="2"/>
      <c r="U775" s="2"/>
    </row>
    <row r="776" spans="1:21">
      <c r="A776" s="2"/>
      <c r="B776" s="2"/>
      <c r="C776" s="2"/>
      <c r="D776" s="2"/>
      <c r="E776" s="2"/>
      <c r="F776" s="2"/>
      <c r="U776" s="2"/>
    </row>
    <row r="777" spans="1:21">
      <c r="A777" s="2"/>
      <c r="B777" s="2"/>
      <c r="C777" s="2"/>
      <c r="D777" s="2"/>
      <c r="E777" s="2"/>
      <c r="F777" s="2"/>
      <c r="U777" s="2"/>
    </row>
    <row r="778" spans="1:21">
      <c r="A778" s="2"/>
      <c r="B778" s="2"/>
      <c r="C778" s="2"/>
      <c r="D778" s="2"/>
      <c r="E778" s="2"/>
      <c r="F778" s="2"/>
      <c r="U778" s="2"/>
    </row>
    <row r="779" spans="1:21">
      <c r="A779" s="2"/>
      <c r="B779" s="2"/>
      <c r="C779" s="2"/>
      <c r="D779" s="2"/>
      <c r="E779" s="2"/>
      <c r="F779" s="2"/>
      <c r="U779" s="2"/>
    </row>
    <row r="780" spans="1:21">
      <c r="A780" s="2"/>
      <c r="B780" s="2"/>
      <c r="C780" s="2"/>
      <c r="D780" s="2"/>
      <c r="E780" s="2"/>
      <c r="F780" s="2"/>
      <c r="U780" s="2"/>
    </row>
    <row r="781" spans="1:21">
      <c r="A781" s="2"/>
      <c r="B781" s="2"/>
      <c r="C781" s="2"/>
      <c r="D781" s="2"/>
      <c r="E781" s="2"/>
      <c r="F781" s="2"/>
      <c r="U781" s="2"/>
    </row>
    <row r="782" spans="1:21">
      <c r="A782" s="2"/>
      <c r="B782" s="2"/>
      <c r="C782" s="2"/>
      <c r="D782" s="2"/>
      <c r="E782" s="2"/>
      <c r="F782" s="2"/>
      <c r="U782" s="2"/>
    </row>
    <row r="783" spans="1:21">
      <c r="A783" s="2"/>
      <c r="B783" s="2"/>
      <c r="C783" s="2"/>
      <c r="D783" s="2"/>
      <c r="E783" s="2"/>
      <c r="F783" s="2"/>
      <c r="U783" s="2"/>
    </row>
    <row r="784" spans="1:21">
      <c r="A784" s="2"/>
      <c r="B784" s="2"/>
      <c r="C784" s="2"/>
      <c r="D784" s="2"/>
      <c r="E784" s="2"/>
      <c r="F784" s="2"/>
      <c r="U784" s="2"/>
    </row>
    <row r="785" spans="1:21">
      <c r="A785" s="2"/>
      <c r="B785" s="2"/>
      <c r="C785" s="2"/>
      <c r="D785" s="2"/>
      <c r="E785" s="2"/>
      <c r="F785" s="2"/>
      <c r="U785" s="2"/>
    </row>
    <row r="786" spans="1:21">
      <c r="A786" s="2"/>
      <c r="B786" s="2"/>
      <c r="C786" s="2"/>
      <c r="D786" s="2"/>
      <c r="E786" s="2"/>
      <c r="F786" s="2"/>
      <c r="U786" s="2"/>
    </row>
    <row r="787" spans="1:21">
      <c r="A787" s="2"/>
      <c r="B787" s="2"/>
      <c r="C787" s="2"/>
      <c r="D787" s="2"/>
      <c r="E787" s="2"/>
      <c r="F787" s="2"/>
      <c r="U787" s="2"/>
    </row>
    <row r="788" spans="1:21">
      <c r="A788" s="2"/>
      <c r="B788" s="2"/>
      <c r="C788" s="2"/>
      <c r="D788" s="2"/>
      <c r="E788" s="2"/>
      <c r="F788" s="2"/>
      <c r="U788" s="2"/>
    </row>
    <row r="789" spans="1:21">
      <c r="A789" s="2"/>
      <c r="B789" s="2"/>
      <c r="C789" s="2"/>
      <c r="D789" s="2"/>
      <c r="E789" s="2"/>
      <c r="F789" s="2"/>
      <c r="U789" s="2"/>
    </row>
    <row r="790" spans="1:21">
      <c r="A790" s="2"/>
      <c r="B790" s="2"/>
      <c r="C790" s="2"/>
      <c r="D790" s="2"/>
      <c r="E790" s="2"/>
      <c r="F790" s="2"/>
      <c r="U790" s="2"/>
    </row>
    <row r="791" spans="1:21">
      <c r="A791" s="2"/>
      <c r="B791" s="2"/>
      <c r="C791" s="2"/>
      <c r="D791" s="2"/>
      <c r="E791" s="2"/>
      <c r="F791" s="2"/>
      <c r="U791" s="2"/>
    </row>
    <row r="792" spans="1:21">
      <c r="A792" s="2"/>
      <c r="B792" s="2"/>
      <c r="C792" s="2"/>
      <c r="D792" s="2"/>
      <c r="E792" s="2"/>
      <c r="F792" s="2"/>
      <c r="U792" s="2"/>
    </row>
    <row r="793" spans="1:21">
      <c r="A793" s="2"/>
      <c r="B793" s="2"/>
      <c r="C793" s="2"/>
      <c r="D793" s="2"/>
      <c r="E793" s="2"/>
      <c r="F793" s="2"/>
      <c r="U793" s="2"/>
    </row>
    <row r="794" spans="1:21">
      <c r="A794" s="2"/>
      <c r="B794" s="2"/>
      <c r="C794" s="2"/>
      <c r="D794" s="2"/>
      <c r="E794" s="2"/>
      <c r="F794" s="2"/>
      <c r="U794" s="2"/>
    </row>
    <row r="795" spans="1:21">
      <c r="A795" s="2"/>
      <c r="B795" s="2"/>
      <c r="C795" s="2"/>
      <c r="D795" s="2"/>
      <c r="E795" s="2"/>
      <c r="F795" s="2"/>
      <c r="U795" s="2"/>
    </row>
    <row r="796" spans="1:21">
      <c r="A796" s="2"/>
      <c r="B796" s="2"/>
      <c r="C796" s="2"/>
      <c r="D796" s="2"/>
      <c r="E796" s="2"/>
      <c r="F796" s="2"/>
      <c r="U796" s="2"/>
    </row>
    <row r="797" spans="1:21">
      <c r="A797" s="2"/>
      <c r="B797" s="2"/>
      <c r="C797" s="2"/>
      <c r="D797" s="2"/>
      <c r="E797" s="2"/>
      <c r="F797" s="2"/>
      <c r="U797" s="2"/>
    </row>
    <row r="798" spans="1:21">
      <c r="A798" s="2"/>
      <c r="B798" s="2"/>
      <c r="C798" s="2"/>
      <c r="D798" s="2"/>
      <c r="E798" s="2"/>
      <c r="F798" s="2"/>
      <c r="U798" s="2"/>
    </row>
    <row r="799" spans="1:21">
      <c r="A799" s="2"/>
      <c r="B799" s="2"/>
      <c r="C799" s="2"/>
      <c r="D799" s="2"/>
      <c r="E799" s="2"/>
      <c r="F799" s="2"/>
      <c r="U799" s="2"/>
    </row>
    <row r="800" spans="1:21">
      <c r="A800" s="2"/>
      <c r="B800" s="2"/>
      <c r="C800" s="2"/>
      <c r="D800" s="2"/>
      <c r="E800" s="2"/>
      <c r="F800" s="2"/>
      <c r="U800" s="2"/>
    </row>
    <row r="801" spans="1:21">
      <c r="A801" s="2"/>
      <c r="B801" s="2"/>
      <c r="C801" s="2"/>
      <c r="D801" s="2"/>
      <c r="E801" s="2"/>
      <c r="F801" s="2"/>
      <c r="U801" s="2"/>
    </row>
    <row r="802" spans="1:21">
      <c r="A802" s="2"/>
      <c r="B802" s="2"/>
      <c r="C802" s="2"/>
      <c r="D802" s="2"/>
      <c r="E802" s="2"/>
      <c r="F802" s="2"/>
      <c r="U802" s="2"/>
    </row>
    <row r="803" spans="1:21">
      <c r="A803" s="2"/>
      <c r="B803" s="2"/>
      <c r="C803" s="2"/>
      <c r="D803" s="2"/>
      <c r="E803" s="2"/>
      <c r="F803" s="2"/>
      <c r="U803" s="2"/>
    </row>
    <row r="804" spans="1:21">
      <c r="A804" s="2"/>
      <c r="B804" s="2"/>
      <c r="C804" s="2"/>
      <c r="D804" s="2"/>
      <c r="E804" s="2"/>
      <c r="F804" s="2"/>
      <c r="U804" s="2"/>
    </row>
    <row r="805" spans="1:21">
      <c r="A805" s="2"/>
      <c r="B805" s="2"/>
      <c r="C805" s="2"/>
      <c r="D805" s="2"/>
      <c r="E805" s="2"/>
      <c r="F805" s="2"/>
      <c r="U805" s="2"/>
    </row>
    <row r="806" spans="1:21">
      <c r="A806" s="2"/>
      <c r="B806" s="2"/>
      <c r="C806" s="2"/>
      <c r="D806" s="2"/>
      <c r="E806" s="2"/>
      <c r="F806" s="2"/>
      <c r="U806" s="2"/>
    </row>
    <row r="807" spans="1:21">
      <c r="A807" s="2"/>
      <c r="B807" s="2"/>
      <c r="C807" s="2"/>
      <c r="D807" s="2"/>
      <c r="E807" s="2"/>
      <c r="F807" s="2"/>
      <c r="U807" s="2"/>
    </row>
    <row r="808" spans="1:21">
      <c r="A808" s="2"/>
      <c r="B808" s="2"/>
      <c r="C808" s="2"/>
      <c r="D808" s="2"/>
      <c r="E808" s="2"/>
      <c r="F808" s="2"/>
      <c r="U808" s="2"/>
    </row>
    <row r="809" spans="1:21">
      <c r="A809" s="2"/>
      <c r="B809" s="2"/>
      <c r="C809" s="2"/>
      <c r="D809" s="2"/>
      <c r="E809" s="2"/>
      <c r="F809" s="2"/>
      <c r="U809" s="2"/>
    </row>
    <row r="810" spans="1:21">
      <c r="A810" s="2"/>
      <c r="B810" s="2"/>
      <c r="C810" s="2"/>
      <c r="D810" s="2"/>
      <c r="E810" s="2"/>
      <c r="F810" s="2"/>
      <c r="U810" s="2"/>
    </row>
    <row r="811" spans="1:21">
      <c r="A811" s="2"/>
      <c r="B811" s="2"/>
      <c r="C811" s="2"/>
      <c r="D811" s="2"/>
      <c r="E811" s="2"/>
      <c r="F811" s="2"/>
      <c r="U811" s="2"/>
    </row>
    <row r="812" spans="1:21">
      <c r="A812" s="2"/>
      <c r="B812" s="2"/>
      <c r="C812" s="2"/>
      <c r="D812" s="2"/>
      <c r="E812" s="2"/>
      <c r="F812" s="2"/>
      <c r="U812" s="2"/>
    </row>
    <row r="813" spans="1:21">
      <c r="A813" s="2"/>
      <c r="B813" s="2"/>
      <c r="C813" s="2"/>
      <c r="D813" s="2"/>
      <c r="E813" s="2"/>
      <c r="F813" s="2"/>
      <c r="U813" s="2"/>
    </row>
    <row r="814" spans="1:21">
      <c r="A814" s="2"/>
      <c r="B814" s="2"/>
      <c r="C814" s="2"/>
      <c r="D814" s="2"/>
      <c r="E814" s="2"/>
      <c r="F814" s="2"/>
      <c r="U814" s="2"/>
    </row>
    <row r="815" spans="1:21">
      <c r="A815" s="2"/>
      <c r="B815" s="2"/>
      <c r="C815" s="2"/>
      <c r="D815" s="2"/>
      <c r="E815" s="2"/>
      <c r="F815" s="2"/>
      <c r="U815" s="2"/>
    </row>
    <row r="816" spans="1:21">
      <c r="A816" s="2"/>
      <c r="B816" s="2"/>
      <c r="C816" s="2"/>
      <c r="D816" s="2"/>
      <c r="E816" s="2"/>
      <c r="F816" s="2"/>
      <c r="U816" s="2"/>
    </row>
    <row r="817" spans="1:21">
      <c r="A817" s="2"/>
      <c r="B817" s="2"/>
      <c r="C817" s="2"/>
      <c r="D817" s="2"/>
      <c r="E817" s="2"/>
      <c r="F817" s="2"/>
      <c r="U817" s="2"/>
    </row>
    <row r="818" spans="1:21">
      <c r="A818" s="2"/>
      <c r="B818" s="2"/>
      <c r="C818" s="2"/>
      <c r="D818" s="2"/>
      <c r="E818" s="2"/>
      <c r="F818" s="2"/>
      <c r="U818" s="2"/>
    </row>
    <row r="819" spans="1:21">
      <c r="A819" s="2"/>
      <c r="B819" s="2"/>
      <c r="C819" s="2"/>
      <c r="D819" s="2"/>
      <c r="E819" s="2"/>
      <c r="F819" s="2"/>
      <c r="U819" s="2"/>
    </row>
    <row r="820" spans="1:21">
      <c r="A820" s="2"/>
      <c r="B820" s="2"/>
      <c r="C820" s="2"/>
      <c r="D820" s="2"/>
      <c r="E820" s="2"/>
      <c r="F820" s="2"/>
      <c r="U820" s="2"/>
    </row>
    <row r="821" spans="1:21">
      <c r="A821" s="2"/>
      <c r="B821" s="2"/>
      <c r="C821" s="2"/>
      <c r="D821" s="2"/>
      <c r="E821" s="2"/>
      <c r="F821" s="2"/>
      <c r="U821" s="2"/>
    </row>
    <row r="822" spans="1:21">
      <c r="A822" s="2"/>
      <c r="B822" s="2"/>
      <c r="C822" s="2"/>
      <c r="D822" s="2"/>
      <c r="E822" s="2"/>
      <c r="F822" s="2"/>
      <c r="U822" s="2"/>
    </row>
    <row r="823" spans="1:21">
      <c r="A823" s="2"/>
      <c r="B823" s="2"/>
      <c r="C823" s="2"/>
      <c r="D823" s="2"/>
      <c r="E823" s="2"/>
      <c r="F823" s="2"/>
      <c r="U823" s="2"/>
    </row>
    <row r="824" spans="1:21">
      <c r="A824" s="2"/>
      <c r="B824" s="2"/>
      <c r="C824" s="2"/>
      <c r="D824" s="2"/>
      <c r="E824" s="2"/>
      <c r="F824" s="2"/>
      <c r="U824" s="2"/>
    </row>
    <row r="825" spans="1:21">
      <c r="A825" s="2"/>
      <c r="B825" s="2"/>
      <c r="C825" s="2"/>
      <c r="D825" s="2"/>
      <c r="E825" s="2"/>
      <c r="F825" s="2"/>
      <c r="U825" s="2"/>
    </row>
    <row r="826" spans="1:21">
      <c r="A826" s="2"/>
      <c r="B826" s="2"/>
      <c r="C826" s="2"/>
      <c r="D826" s="2"/>
      <c r="E826" s="2"/>
      <c r="F826" s="2"/>
      <c r="U826" s="2"/>
    </row>
    <row r="827" spans="1:21">
      <c r="A827" s="2"/>
      <c r="B827" s="2"/>
      <c r="C827" s="2"/>
      <c r="D827" s="2"/>
      <c r="E827" s="2"/>
      <c r="F827" s="2"/>
      <c r="U827" s="2"/>
    </row>
    <row r="828" spans="1:21">
      <c r="A828" s="2"/>
      <c r="B828" s="2"/>
      <c r="C828" s="2"/>
      <c r="D828" s="2"/>
      <c r="E828" s="2"/>
      <c r="F828" s="2"/>
      <c r="U828" s="2"/>
    </row>
    <row r="829" spans="1:21">
      <c r="A829" s="2"/>
      <c r="B829" s="2"/>
      <c r="C829" s="2"/>
      <c r="D829" s="2"/>
      <c r="E829" s="2"/>
      <c r="F829" s="2"/>
      <c r="U829" s="2"/>
    </row>
    <row r="830" spans="1:21">
      <c r="A830" s="2"/>
      <c r="B830" s="2"/>
      <c r="C830" s="2"/>
      <c r="D830" s="2"/>
      <c r="E830" s="2"/>
      <c r="F830" s="2"/>
      <c r="U830" s="2"/>
    </row>
    <row r="831" spans="1:21">
      <c r="A831" s="2"/>
      <c r="B831" s="2"/>
      <c r="C831" s="2"/>
      <c r="D831" s="2"/>
      <c r="E831" s="2"/>
      <c r="F831" s="2"/>
      <c r="U831" s="2"/>
    </row>
    <row r="832" spans="1:21">
      <c r="A832" s="2"/>
      <c r="B832" s="2"/>
      <c r="C832" s="2"/>
      <c r="D832" s="2"/>
      <c r="E832" s="2"/>
      <c r="F832" s="2"/>
      <c r="U832" s="2"/>
    </row>
    <row r="833" spans="1:21">
      <c r="A833" s="2"/>
      <c r="B833" s="2"/>
      <c r="C833" s="2"/>
      <c r="D833" s="2"/>
      <c r="E833" s="2"/>
      <c r="F833" s="2"/>
      <c r="U833" s="2"/>
    </row>
    <row r="834" spans="1:21">
      <c r="A834" s="2"/>
      <c r="B834" s="2"/>
      <c r="C834" s="2"/>
      <c r="D834" s="2"/>
      <c r="E834" s="2"/>
      <c r="F834" s="2"/>
      <c r="U834" s="2"/>
    </row>
    <row r="835" spans="1:21">
      <c r="A835" s="2"/>
      <c r="B835" s="2"/>
      <c r="C835" s="2"/>
      <c r="D835" s="2"/>
      <c r="E835" s="2"/>
      <c r="F835" s="2"/>
      <c r="U835" s="2"/>
    </row>
    <row r="836" spans="1:21">
      <c r="A836" s="2"/>
      <c r="B836" s="2"/>
      <c r="C836" s="2"/>
      <c r="D836" s="2"/>
      <c r="E836" s="2"/>
      <c r="F836" s="2"/>
      <c r="U836" s="2"/>
    </row>
    <row r="837" spans="1:21">
      <c r="A837" s="2"/>
      <c r="B837" s="2"/>
      <c r="C837" s="2"/>
      <c r="D837" s="2"/>
      <c r="E837" s="2"/>
      <c r="F837" s="2"/>
      <c r="U837" s="2"/>
    </row>
    <row r="838" spans="1:21">
      <c r="A838" s="2"/>
      <c r="B838" s="2"/>
      <c r="C838" s="2"/>
      <c r="D838" s="2"/>
      <c r="E838" s="2"/>
      <c r="F838" s="2"/>
      <c r="U838" s="2"/>
    </row>
    <row r="839" spans="1:21">
      <c r="A839" s="2"/>
      <c r="B839" s="2"/>
      <c r="C839" s="2"/>
      <c r="D839" s="2"/>
      <c r="E839" s="2"/>
      <c r="F839" s="2"/>
      <c r="U839" s="2"/>
    </row>
    <row r="840" spans="1:21">
      <c r="A840" s="2"/>
      <c r="B840" s="2"/>
      <c r="C840" s="2"/>
      <c r="D840" s="2"/>
      <c r="E840" s="2"/>
      <c r="F840" s="2"/>
      <c r="U840" s="2"/>
    </row>
    <row r="841" spans="1:21">
      <c r="A841" s="2"/>
      <c r="B841" s="2"/>
      <c r="C841" s="2"/>
      <c r="D841" s="2"/>
      <c r="E841" s="2"/>
      <c r="F841" s="2"/>
      <c r="U841" s="2"/>
    </row>
    <row r="842" spans="1:21">
      <c r="A842" s="2"/>
      <c r="B842" s="2"/>
      <c r="C842" s="2"/>
      <c r="D842" s="2"/>
      <c r="E842" s="2"/>
      <c r="F842" s="2"/>
      <c r="U842" s="2"/>
    </row>
    <row r="843" spans="1:21">
      <c r="A843" s="2"/>
      <c r="B843" s="2"/>
      <c r="C843" s="2"/>
      <c r="D843" s="2"/>
      <c r="E843" s="2"/>
      <c r="F843" s="2"/>
      <c r="U843" s="2"/>
    </row>
    <row r="844" spans="1:21">
      <c r="A844" s="2"/>
      <c r="B844" s="2"/>
      <c r="C844" s="2"/>
      <c r="D844" s="2"/>
      <c r="E844" s="2"/>
      <c r="F844" s="2"/>
      <c r="U844" s="2"/>
    </row>
    <row r="845" spans="1:21">
      <c r="A845" s="2"/>
      <c r="B845" s="2"/>
      <c r="C845" s="2"/>
      <c r="D845" s="2"/>
      <c r="E845" s="2"/>
      <c r="F845" s="2"/>
      <c r="U845" s="2"/>
    </row>
    <row r="846" spans="1:21">
      <c r="A846" s="2"/>
      <c r="B846" s="2"/>
      <c r="C846" s="2"/>
      <c r="D846" s="2"/>
      <c r="E846" s="2"/>
      <c r="F846" s="2"/>
      <c r="U846" s="2"/>
    </row>
    <row r="847" spans="1:21">
      <c r="A847" s="2"/>
      <c r="B847" s="2"/>
      <c r="C847" s="2"/>
      <c r="D847" s="2"/>
      <c r="E847" s="2"/>
      <c r="F847" s="2"/>
      <c r="U847" s="2"/>
    </row>
    <row r="848" spans="1:21">
      <c r="A848" s="2"/>
      <c r="B848" s="2"/>
      <c r="C848" s="2"/>
      <c r="D848" s="2"/>
      <c r="E848" s="2"/>
      <c r="F848" s="2"/>
      <c r="U848" s="2"/>
    </row>
    <row r="849" spans="1:21">
      <c r="A849" s="2"/>
      <c r="B849" s="2"/>
      <c r="C849" s="2"/>
      <c r="D849" s="2"/>
      <c r="E849" s="2"/>
      <c r="F849" s="2"/>
      <c r="U849" s="2"/>
    </row>
    <row r="850" spans="1:21">
      <c r="A850" s="2"/>
      <c r="B850" s="2"/>
      <c r="C850" s="2"/>
      <c r="D850" s="2"/>
      <c r="E850" s="2"/>
      <c r="F850" s="2"/>
      <c r="U850" s="2"/>
    </row>
    <row r="851" spans="1:21">
      <c r="A851" s="2"/>
      <c r="B851" s="2"/>
      <c r="C851" s="2"/>
      <c r="D851" s="2"/>
      <c r="E851" s="2"/>
      <c r="F851" s="2"/>
      <c r="U851" s="2"/>
    </row>
    <row r="852" spans="1:21">
      <c r="A852" s="2"/>
      <c r="B852" s="2"/>
      <c r="C852" s="2"/>
      <c r="D852" s="2"/>
      <c r="E852" s="2"/>
      <c r="F852" s="2"/>
      <c r="U852" s="2"/>
    </row>
    <row r="853" spans="1:21">
      <c r="A853" s="2"/>
      <c r="B853" s="2"/>
      <c r="C853" s="2"/>
      <c r="D853" s="2"/>
      <c r="E853" s="2"/>
      <c r="F853" s="2"/>
      <c r="U853" s="2"/>
    </row>
    <row r="854" spans="1:21">
      <c r="A854" s="2"/>
      <c r="B854" s="2"/>
      <c r="C854" s="2"/>
      <c r="D854" s="2"/>
      <c r="E854" s="2"/>
      <c r="F854" s="2"/>
      <c r="U854" s="2"/>
    </row>
    <row r="855" spans="1:21">
      <c r="A855" s="2"/>
      <c r="B855" s="2"/>
      <c r="C855" s="2"/>
      <c r="D855" s="2"/>
      <c r="E855" s="2"/>
      <c r="F855" s="2"/>
      <c r="U855" s="2"/>
    </row>
    <row r="856" spans="1:21">
      <c r="A856" s="2"/>
      <c r="B856" s="2"/>
      <c r="C856" s="2"/>
      <c r="D856" s="2"/>
      <c r="E856" s="2"/>
      <c r="F856" s="2"/>
      <c r="U856" s="2"/>
    </row>
    <row r="857" spans="1:21">
      <c r="A857" s="2"/>
      <c r="B857" s="2"/>
      <c r="C857" s="2"/>
      <c r="D857" s="2"/>
      <c r="E857" s="2"/>
      <c r="F857" s="2"/>
      <c r="U857" s="2"/>
    </row>
    <row r="858" spans="1:21">
      <c r="A858" s="2"/>
      <c r="B858" s="2"/>
      <c r="C858" s="2"/>
      <c r="D858" s="2"/>
      <c r="E858" s="2"/>
      <c r="F858" s="2"/>
      <c r="U858" s="2"/>
    </row>
    <row r="859" spans="1:21">
      <c r="A859" s="2"/>
      <c r="B859" s="2"/>
      <c r="C859" s="2"/>
      <c r="D859" s="2"/>
      <c r="E859" s="2"/>
      <c r="F859" s="2"/>
      <c r="U859" s="2"/>
    </row>
    <row r="860" spans="1:21">
      <c r="A860" s="2"/>
      <c r="B860" s="2"/>
      <c r="C860" s="2"/>
      <c r="D860" s="2"/>
      <c r="E860" s="2"/>
      <c r="F860" s="2"/>
      <c r="U860" s="2"/>
    </row>
    <row r="861" spans="1:21">
      <c r="A861" s="2"/>
      <c r="B861" s="2"/>
      <c r="C861" s="2"/>
      <c r="D861" s="2"/>
      <c r="E861" s="2"/>
      <c r="F861" s="2"/>
      <c r="U861" s="2"/>
    </row>
    <row r="862" spans="1:21">
      <c r="A862" s="2"/>
      <c r="B862" s="2"/>
      <c r="C862" s="2"/>
      <c r="D862" s="2"/>
      <c r="E862" s="2"/>
      <c r="F862" s="2"/>
      <c r="U862" s="2"/>
    </row>
    <row r="863" spans="1:21">
      <c r="A863" s="2"/>
      <c r="B863" s="2"/>
      <c r="C863" s="2"/>
      <c r="D863" s="2"/>
      <c r="E863" s="2"/>
      <c r="F863" s="2"/>
      <c r="U863" s="2"/>
    </row>
    <row r="864" spans="1:21">
      <c r="A864" s="2"/>
      <c r="B864" s="2"/>
      <c r="C864" s="2"/>
      <c r="D864" s="2"/>
      <c r="E864" s="2"/>
      <c r="F864" s="2"/>
      <c r="U864" s="2"/>
    </row>
    <row r="865" spans="1:21">
      <c r="A865" s="2"/>
      <c r="B865" s="2"/>
      <c r="C865" s="2"/>
      <c r="D865" s="2"/>
      <c r="E865" s="2"/>
      <c r="F865" s="2"/>
      <c r="U865" s="2"/>
    </row>
    <row r="866" spans="1:21">
      <c r="A866" s="2"/>
      <c r="B866" s="2"/>
      <c r="C866" s="2"/>
      <c r="D866" s="2"/>
      <c r="E866" s="2"/>
      <c r="F866" s="2"/>
      <c r="U866" s="2"/>
    </row>
    <row r="867" spans="1:21">
      <c r="A867" s="2"/>
      <c r="B867" s="2"/>
      <c r="C867" s="2"/>
      <c r="D867" s="2"/>
      <c r="E867" s="2"/>
      <c r="F867" s="2"/>
      <c r="U867" s="2"/>
    </row>
    <row r="868" spans="1:21">
      <c r="A868" s="2"/>
      <c r="B868" s="2"/>
      <c r="C868" s="2"/>
      <c r="D868" s="2"/>
      <c r="E868" s="2"/>
      <c r="F868" s="2"/>
      <c r="U868" s="2"/>
    </row>
    <row r="869" spans="1:21">
      <c r="A869" s="2"/>
      <c r="B869" s="2"/>
      <c r="C869" s="2"/>
      <c r="D869" s="2"/>
      <c r="E869" s="2"/>
      <c r="F869" s="2"/>
      <c r="U869" s="2"/>
    </row>
    <row r="870" spans="1:21">
      <c r="A870" s="2"/>
      <c r="B870" s="2"/>
      <c r="C870" s="2"/>
      <c r="D870" s="2"/>
      <c r="E870" s="2"/>
      <c r="F870" s="2"/>
      <c r="U870" s="2"/>
    </row>
    <row r="871" spans="1:21">
      <c r="A871" s="2"/>
      <c r="B871" s="2"/>
      <c r="C871" s="2"/>
      <c r="D871" s="2"/>
      <c r="E871" s="2"/>
      <c r="F871" s="2"/>
      <c r="U871" s="2"/>
    </row>
    <row r="872" spans="1:21">
      <c r="A872" s="2"/>
      <c r="B872" s="2"/>
      <c r="C872" s="2"/>
      <c r="D872" s="2"/>
      <c r="E872" s="2"/>
      <c r="F872" s="2"/>
      <c r="U872" s="2"/>
    </row>
    <row r="873" spans="1:21">
      <c r="A873" s="2"/>
      <c r="B873" s="2"/>
      <c r="C873" s="2"/>
      <c r="D873" s="2"/>
      <c r="E873" s="2"/>
      <c r="F873" s="2"/>
      <c r="U873" s="2"/>
    </row>
    <row r="874" spans="1:21">
      <c r="A874" s="2"/>
      <c r="B874" s="2"/>
      <c r="C874" s="2"/>
      <c r="D874" s="2"/>
      <c r="E874" s="2"/>
      <c r="F874" s="2"/>
      <c r="U874" s="2"/>
    </row>
    <row r="875" spans="1:21">
      <c r="A875" s="2"/>
      <c r="B875" s="2"/>
      <c r="C875" s="2"/>
      <c r="D875" s="2"/>
      <c r="E875" s="2"/>
      <c r="F875" s="2"/>
      <c r="U875" s="2"/>
    </row>
    <row r="876" spans="1:21">
      <c r="A876" s="2"/>
      <c r="B876" s="2"/>
      <c r="C876" s="2"/>
      <c r="D876" s="2"/>
      <c r="E876" s="2"/>
      <c r="F876" s="2"/>
      <c r="U876" s="2"/>
    </row>
    <row r="877" spans="1:21">
      <c r="A877" s="2"/>
      <c r="B877" s="2"/>
      <c r="C877" s="2"/>
      <c r="D877" s="2"/>
      <c r="E877" s="2"/>
      <c r="F877" s="2"/>
      <c r="U877" s="2"/>
    </row>
    <row r="878" spans="1:21">
      <c r="A878" s="2"/>
      <c r="B878" s="2"/>
      <c r="C878" s="2"/>
      <c r="D878" s="2"/>
      <c r="E878" s="2"/>
      <c r="F878" s="2"/>
      <c r="U878" s="2"/>
    </row>
    <row r="879" spans="1:21">
      <c r="A879" s="2"/>
      <c r="B879" s="2"/>
      <c r="C879" s="2"/>
      <c r="D879" s="2"/>
      <c r="E879" s="2"/>
      <c r="F879" s="2"/>
      <c r="U879" s="2"/>
    </row>
    <row r="880" spans="1:21">
      <c r="A880" s="2"/>
      <c r="B880" s="2"/>
      <c r="C880" s="2"/>
      <c r="D880" s="2"/>
      <c r="E880" s="2"/>
      <c r="F880" s="2"/>
      <c r="U880" s="2"/>
    </row>
    <row r="881" spans="1:21">
      <c r="A881" s="2"/>
      <c r="B881" s="2"/>
      <c r="C881" s="2"/>
      <c r="D881" s="2"/>
      <c r="E881" s="2"/>
      <c r="F881" s="2"/>
      <c r="U881" s="2"/>
    </row>
    <row r="882" spans="1:21">
      <c r="A882" s="2"/>
      <c r="B882" s="2"/>
      <c r="C882" s="2"/>
      <c r="D882" s="2"/>
      <c r="E882" s="2"/>
      <c r="F882" s="2"/>
      <c r="U882" s="2"/>
    </row>
    <row r="883" spans="1:21">
      <c r="A883" s="2"/>
      <c r="B883" s="2"/>
      <c r="C883" s="2"/>
      <c r="D883" s="2"/>
      <c r="E883" s="2"/>
      <c r="F883" s="2"/>
      <c r="U883" s="2"/>
    </row>
    <row r="884" spans="1:21">
      <c r="A884" s="2"/>
      <c r="B884" s="2"/>
      <c r="C884" s="2"/>
      <c r="D884" s="2"/>
      <c r="E884" s="2"/>
      <c r="F884" s="2"/>
      <c r="U884" s="2"/>
    </row>
    <row r="885" spans="1:21">
      <c r="A885" s="2"/>
      <c r="B885" s="2"/>
      <c r="C885" s="2"/>
      <c r="D885" s="2"/>
      <c r="E885" s="2"/>
      <c r="F885" s="2"/>
      <c r="U885" s="2"/>
    </row>
    <row r="886" spans="1:21">
      <c r="A886" s="2"/>
      <c r="B886" s="2"/>
      <c r="C886" s="2"/>
      <c r="D886" s="2"/>
      <c r="E886" s="2"/>
      <c r="F886" s="2"/>
      <c r="U886" s="2"/>
    </row>
    <row r="887" spans="1:21">
      <c r="A887" s="2"/>
      <c r="B887" s="2"/>
      <c r="C887" s="2"/>
      <c r="D887" s="2"/>
      <c r="E887" s="2"/>
      <c r="F887" s="2"/>
      <c r="U887" s="2"/>
    </row>
    <row r="888" spans="1:21">
      <c r="A888" s="2"/>
      <c r="B888" s="2"/>
      <c r="C888" s="2"/>
      <c r="D888" s="2"/>
      <c r="E888" s="2"/>
      <c r="F888" s="2"/>
      <c r="U888" s="2"/>
    </row>
    <row r="889" spans="1:21">
      <c r="A889" s="2"/>
      <c r="B889" s="2"/>
      <c r="C889" s="2"/>
      <c r="D889" s="2"/>
      <c r="E889" s="2"/>
      <c r="F889" s="2"/>
      <c r="U889" s="2"/>
    </row>
    <row r="890" spans="1:21">
      <c r="A890" s="2"/>
      <c r="B890" s="2"/>
      <c r="C890" s="2"/>
      <c r="D890" s="2"/>
      <c r="E890" s="2"/>
      <c r="F890" s="2"/>
      <c r="U890" s="2"/>
    </row>
    <row r="891" spans="1:21">
      <c r="A891" s="2"/>
      <c r="B891" s="2"/>
      <c r="C891" s="2"/>
      <c r="D891" s="2"/>
      <c r="E891" s="2"/>
      <c r="F891" s="2"/>
      <c r="U891" s="2"/>
    </row>
    <row r="892" spans="1:21">
      <c r="A892" s="2"/>
      <c r="B892" s="2"/>
      <c r="C892" s="2"/>
      <c r="D892" s="2"/>
      <c r="E892" s="2"/>
      <c r="F892" s="2"/>
      <c r="U892" s="2"/>
    </row>
    <row r="893" spans="1:21">
      <c r="A893" s="2"/>
      <c r="B893" s="2"/>
      <c r="C893" s="2"/>
      <c r="D893" s="2"/>
      <c r="E893" s="2"/>
      <c r="F893" s="2"/>
      <c r="U893" s="2"/>
    </row>
    <row r="894" spans="1:21">
      <c r="A894" s="2"/>
      <c r="B894" s="2"/>
      <c r="C894" s="2"/>
      <c r="D894" s="2"/>
      <c r="E894" s="2"/>
      <c r="F894" s="2"/>
      <c r="U894" s="2"/>
    </row>
    <row r="895" spans="1:21">
      <c r="A895" s="2"/>
      <c r="B895" s="2"/>
      <c r="C895" s="2"/>
      <c r="D895" s="2"/>
      <c r="E895" s="2"/>
      <c r="F895" s="2"/>
      <c r="U895" s="2"/>
    </row>
    <row r="896" spans="1:21">
      <c r="A896" s="2"/>
      <c r="B896" s="2"/>
      <c r="C896" s="2"/>
      <c r="D896" s="2"/>
      <c r="E896" s="2"/>
      <c r="F896" s="2"/>
      <c r="U896" s="2"/>
    </row>
    <row r="897" spans="1:21">
      <c r="A897" s="2"/>
      <c r="B897" s="2"/>
      <c r="C897" s="2"/>
      <c r="D897" s="2"/>
      <c r="E897" s="2"/>
      <c r="F897" s="2"/>
      <c r="U897" s="2"/>
    </row>
    <row r="898" spans="1:21">
      <c r="A898" s="2"/>
      <c r="B898" s="2"/>
      <c r="C898" s="2"/>
      <c r="D898" s="2"/>
      <c r="E898" s="2"/>
      <c r="F898" s="2"/>
      <c r="U898" s="2"/>
    </row>
    <row r="899" spans="1:21">
      <c r="A899" s="2"/>
      <c r="B899" s="2"/>
      <c r="C899" s="2"/>
      <c r="D899" s="2"/>
      <c r="E899" s="2"/>
      <c r="F899" s="2"/>
      <c r="U899" s="2"/>
    </row>
    <row r="900" spans="1:21">
      <c r="A900" s="2"/>
      <c r="B900" s="2"/>
      <c r="C900" s="2"/>
      <c r="D900" s="2"/>
      <c r="E900" s="2"/>
      <c r="F900" s="2"/>
      <c r="U900" s="2"/>
    </row>
    <row r="901" spans="1:21">
      <c r="A901" s="2"/>
      <c r="B901" s="2"/>
      <c r="C901" s="2"/>
      <c r="D901" s="2"/>
      <c r="E901" s="2"/>
      <c r="F901" s="2"/>
      <c r="U901" s="2"/>
    </row>
    <row r="902" spans="1:21">
      <c r="A902" s="2"/>
      <c r="B902" s="2"/>
      <c r="C902" s="2"/>
      <c r="D902" s="2"/>
      <c r="E902" s="2"/>
      <c r="F902" s="2"/>
      <c r="U902" s="2"/>
    </row>
    <row r="903" spans="1:21">
      <c r="A903" s="2"/>
      <c r="B903" s="2"/>
      <c r="C903" s="2"/>
      <c r="D903" s="2"/>
      <c r="E903" s="2"/>
      <c r="F903" s="2"/>
      <c r="U903" s="2"/>
    </row>
    <row r="904" spans="1:21">
      <c r="A904" s="2"/>
      <c r="B904" s="2"/>
      <c r="C904" s="2"/>
      <c r="D904" s="2"/>
      <c r="E904" s="2"/>
      <c r="F904" s="2"/>
      <c r="U904" s="2"/>
    </row>
    <row r="905" spans="1:21">
      <c r="A905" s="2"/>
      <c r="B905" s="2"/>
      <c r="C905" s="2"/>
      <c r="D905" s="2"/>
      <c r="E905" s="2"/>
      <c r="F905" s="2"/>
      <c r="U905" s="2"/>
    </row>
    <row r="906" spans="1:21">
      <c r="A906" s="2"/>
      <c r="B906" s="2"/>
      <c r="C906" s="2"/>
      <c r="D906" s="2"/>
      <c r="E906" s="2"/>
      <c r="F906" s="2"/>
      <c r="U906" s="2"/>
    </row>
    <row r="907" spans="1:21">
      <c r="A907" s="2"/>
      <c r="B907" s="2"/>
      <c r="C907" s="2"/>
      <c r="D907" s="2"/>
      <c r="E907" s="2"/>
      <c r="F907" s="2"/>
      <c r="U907" s="2"/>
    </row>
    <row r="908" spans="1:21">
      <c r="A908" s="2"/>
      <c r="B908" s="2"/>
      <c r="C908" s="2"/>
      <c r="D908" s="2"/>
      <c r="E908" s="2"/>
      <c r="F908" s="2"/>
      <c r="U908" s="2"/>
    </row>
    <row r="909" spans="1:21">
      <c r="A909" s="2"/>
      <c r="B909" s="2"/>
      <c r="C909" s="2"/>
      <c r="D909" s="2"/>
      <c r="E909" s="2"/>
      <c r="F909" s="2"/>
      <c r="U909" s="2"/>
    </row>
    <row r="910" spans="1:21">
      <c r="A910" s="2"/>
      <c r="B910" s="2"/>
      <c r="C910" s="2"/>
      <c r="D910" s="2"/>
      <c r="E910" s="2"/>
      <c r="F910" s="2"/>
      <c r="U910" s="2"/>
    </row>
    <row r="911" spans="1:21">
      <c r="A911" s="2"/>
      <c r="B911" s="2"/>
      <c r="C911" s="2"/>
      <c r="D911" s="2"/>
      <c r="E911" s="2"/>
      <c r="F911" s="2"/>
      <c r="U911" s="2"/>
    </row>
    <row r="912" spans="1:21">
      <c r="A912" s="2"/>
      <c r="B912" s="2"/>
      <c r="C912" s="2"/>
      <c r="D912" s="2"/>
      <c r="E912" s="2"/>
      <c r="F912" s="2"/>
      <c r="U912" s="2"/>
    </row>
    <row r="913" spans="1:21">
      <c r="A913" s="2"/>
      <c r="B913" s="2"/>
      <c r="C913" s="2"/>
      <c r="D913" s="2"/>
      <c r="E913" s="2"/>
      <c r="F913" s="2"/>
      <c r="U913" s="2"/>
    </row>
    <row r="914" spans="1:21">
      <c r="A914" s="2"/>
      <c r="B914" s="2"/>
      <c r="C914" s="2"/>
      <c r="D914" s="2"/>
      <c r="E914" s="2"/>
      <c r="F914" s="2"/>
      <c r="U914" s="2"/>
    </row>
    <row r="915" spans="1:21">
      <c r="A915" s="2"/>
      <c r="B915" s="2"/>
      <c r="C915" s="2"/>
      <c r="D915" s="2"/>
      <c r="E915" s="2"/>
      <c r="F915" s="2"/>
      <c r="U915" s="2"/>
    </row>
    <row r="916" spans="1:21">
      <c r="A916" s="2"/>
      <c r="B916" s="2"/>
      <c r="C916" s="2"/>
      <c r="D916" s="2"/>
      <c r="E916" s="2"/>
      <c r="F916" s="2"/>
      <c r="U916" s="2"/>
    </row>
    <row r="917" spans="1:21">
      <c r="A917" s="2"/>
      <c r="B917" s="2"/>
      <c r="C917" s="2"/>
      <c r="D917" s="2"/>
      <c r="E917" s="2"/>
      <c r="F917" s="2"/>
      <c r="U917" s="2"/>
    </row>
    <row r="918" spans="1:21">
      <c r="A918" s="2"/>
      <c r="B918" s="2"/>
      <c r="C918" s="2"/>
      <c r="D918" s="2"/>
      <c r="E918" s="2"/>
      <c r="F918" s="2"/>
      <c r="U918" s="2"/>
    </row>
    <row r="919" spans="1:21">
      <c r="A919" s="2"/>
      <c r="B919" s="2"/>
      <c r="C919" s="2"/>
      <c r="D919" s="2"/>
      <c r="E919" s="2"/>
      <c r="F919" s="2"/>
      <c r="U919" s="2"/>
    </row>
    <row r="920" spans="1:21">
      <c r="A920" s="2"/>
      <c r="B920" s="2"/>
      <c r="C920" s="2"/>
      <c r="D920" s="2"/>
      <c r="E920" s="2"/>
      <c r="F920" s="2"/>
      <c r="U920" s="2"/>
    </row>
    <row r="921" spans="1:21">
      <c r="A921" s="2"/>
      <c r="B921" s="2"/>
      <c r="C921" s="2"/>
      <c r="D921" s="2"/>
      <c r="E921" s="2"/>
      <c r="F921" s="2"/>
      <c r="U921" s="2"/>
    </row>
    <row r="922" spans="1:21">
      <c r="A922" s="2"/>
      <c r="B922" s="2"/>
      <c r="C922" s="2"/>
      <c r="D922" s="2"/>
      <c r="E922" s="2"/>
      <c r="F922" s="2"/>
      <c r="U922" s="2"/>
    </row>
    <row r="923" spans="1:21">
      <c r="A923" s="2"/>
      <c r="B923" s="2"/>
      <c r="C923" s="2"/>
      <c r="D923" s="2"/>
      <c r="E923" s="2"/>
      <c r="F923" s="2"/>
      <c r="U923" s="2"/>
    </row>
    <row r="924" spans="1:21">
      <c r="A924" s="2"/>
      <c r="B924" s="2"/>
      <c r="C924" s="2"/>
      <c r="D924" s="2"/>
      <c r="E924" s="2"/>
      <c r="F924" s="2"/>
      <c r="U924" s="2"/>
    </row>
    <row r="925" spans="1:21">
      <c r="A925" s="2"/>
      <c r="B925" s="2"/>
      <c r="C925" s="2"/>
      <c r="D925" s="2"/>
      <c r="E925" s="2"/>
      <c r="F925" s="2"/>
      <c r="U925" s="2"/>
    </row>
    <row r="926" spans="1:21">
      <c r="A926" s="2"/>
      <c r="B926" s="2"/>
      <c r="C926" s="2"/>
      <c r="D926" s="2"/>
      <c r="E926" s="2"/>
      <c r="F926" s="2"/>
      <c r="U926" s="2"/>
    </row>
    <row r="927" spans="1:21">
      <c r="A927" s="2"/>
      <c r="B927" s="2"/>
      <c r="C927" s="2"/>
      <c r="D927" s="2"/>
      <c r="E927" s="2"/>
      <c r="F927" s="2"/>
      <c r="U927" s="2"/>
    </row>
    <row r="928" spans="1:21">
      <c r="A928" s="2"/>
      <c r="B928" s="2"/>
      <c r="C928" s="2"/>
      <c r="D928" s="2"/>
      <c r="E928" s="2"/>
      <c r="F928" s="2"/>
      <c r="U928" s="2"/>
    </row>
    <row r="929" spans="1:21">
      <c r="A929" s="2"/>
      <c r="B929" s="2"/>
      <c r="C929" s="2"/>
      <c r="D929" s="2"/>
      <c r="E929" s="2"/>
      <c r="F929" s="2"/>
      <c r="U929" s="2"/>
    </row>
    <row r="930" spans="1:21">
      <c r="A930" s="2"/>
      <c r="B930" s="2"/>
      <c r="C930" s="2"/>
      <c r="D930" s="2"/>
      <c r="E930" s="2"/>
      <c r="F930" s="2"/>
      <c r="U930" s="2"/>
    </row>
    <row r="931" spans="1:21">
      <c r="A931" s="2"/>
      <c r="B931" s="2"/>
      <c r="C931" s="2"/>
      <c r="D931" s="2"/>
      <c r="E931" s="2"/>
      <c r="F931" s="2"/>
      <c r="U931" s="2"/>
    </row>
    <row r="932" spans="1:21">
      <c r="A932" s="2"/>
      <c r="B932" s="2"/>
      <c r="C932" s="2"/>
      <c r="D932" s="2"/>
      <c r="E932" s="2"/>
      <c r="F932" s="2"/>
      <c r="U932" s="2"/>
    </row>
    <row r="933" spans="1:21">
      <c r="A933" s="2"/>
      <c r="B933" s="2"/>
      <c r="C933" s="2"/>
      <c r="D933" s="2"/>
      <c r="E933" s="2"/>
      <c r="F933" s="2"/>
      <c r="U933" s="2"/>
    </row>
    <row r="934" spans="1:21">
      <c r="A934" s="2"/>
      <c r="B934" s="2"/>
      <c r="C934" s="2"/>
      <c r="D934" s="2"/>
      <c r="E934" s="2"/>
      <c r="F934" s="2"/>
      <c r="U934" s="2"/>
    </row>
    <row r="935" spans="1:21">
      <c r="A935" s="2"/>
      <c r="B935" s="2"/>
      <c r="C935" s="2"/>
      <c r="D935" s="2"/>
      <c r="E935" s="2"/>
      <c r="F935" s="2"/>
      <c r="U935" s="2"/>
    </row>
    <row r="936" spans="1:21">
      <c r="A936" s="2"/>
      <c r="B936" s="2"/>
      <c r="C936" s="2"/>
      <c r="D936" s="2"/>
      <c r="E936" s="2"/>
      <c r="F936" s="2"/>
      <c r="U936" s="2"/>
    </row>
    <row r="937" spans="1:21">
      <c r="A937" s="2"/>
      <c r="B937" s="2"/>
      <c r="C937" s="2"/>
      <c r="D937" s="2"/>
      <c r="E937" s="2"/>
      <c r="F937" s="2"/>
      <c r="U937" s="2"/>
    </row>
    <row r="938" spans="1:21">
      <c r="A938" s="2"/>
      <c r="B938" s="2"/>
      <c r="C938" s="2"/>
      <c r="D938" s="2"/>
      <c r="E938" s="2"/>
      <c r="F938" s="2"/>
      <c r="U938" s="2"/>
    </row>
    <row r="939" spans="1:21">
      <c r="A939" s="2"/>
      <c r="B939" s="2"/>
      <c r="C939" s="2"/>
      <c r="D939" s="2"/>
      <c r="E939" s="2"/>
      <c r="F939" s="2"/>
      <c r="U939" s="2"/>
    </row>
    <row r="940" spans="1:21">
      <c r="A940" s="2"/>
      <c r="B940" s="2"/>
      <c r="C940" s="2"/>
      <c r="D940" s="2"/>
      <c r="E940" s="2"/>
      <c r="F940" s="2"/>
      <c r="U940" s="2"/>
    </row>
    <row r="941" spans="1:21">
      <c r="A941" s="2"/>
      <c r="B941" s="2"/>
      <c r="C941" s="2"/>
      <c r="D941" s="2"/>
      <c r="E941" s="2"/>
      <c r="F941" s="2"/>
      <c r="U941" s="2"/>
    </row>
    <row r="942" spans="1:21">
      <c r="A942" s="2"/>
      <c r="B942" s="2"/>
      <c r="C942" s="2"/>
      <c r="D942" s="2"/>
      <c r="E942" s="2"/>
      <c r="F942" s="2"/>
      <c r="U942" s="2"/>
    </row>
    <row r="943" spans="1:21">
      <c r="A943" s="2"/>
      <c r="B943" s="2"/>
      <c r="C943" s="2"/>
      <c r="D943" s="2"/>
      <c r="E943" s="2"/>
      <c r="F943" s="2"/>
      <c r="U943" s="2"/>
    </row>
    <row r="944" spans="1:21">
      <c r="A944" s="2"/>
      <c r="B944" s="2"/>
      <c r="C944" s="2"/>
      <c r="D944" s="2"/>
      <c r="E944" s="2"/>
      <c r="F944" s="2"/>
      <c r="U944" s="2"/>
    </row>
    <row r="945" spans="1:21">
      <c r="A945" s="2"/>
      <c r="B945" s="2"/>
      <c r="C945" s="2"/>
      <c r="D945" s="2"/>
      <c r="E945" s="2"/>
      <c r="F945" s="2"/>
      <c r="U945" s="2"/>
    </row>
    <row r="946" spans="1:21">
      <c r="A946" s="2"/>
      <c r="B946" s="2"/>
      <c r="C946" s="2"/>
      <c r="D946" s="2"/>
      <c r="E946" s="2"/>
      <c r="F946" s="2"/>
      <c r="U946" s="2"/>
    </row>
    <row r="947" spans="1:21">
      <c r="A947" s="2"/>
      <c r="B947" s="2"/>
      <c r="C947" s="2"/>
      <c r="D947" s="2"/>
      <c r="E947" s="2"/>
      <c r="F947" s="2"/>
      <c r="U947" s="2"/>
    </row>
    <row r="948" spans="1:21">
      <c r="A948" s="2"/>
      <c r="B948" s="2"/>
      <c r="C948" s="2"/>
      <c r="D948" s="2"/>
      <c r="E948" s="2"/>
      <c r="F948" s="2"/>
      <c r="U948" s="2"/>
    </row>
    <row r="949" spans="1:21">
      <c r="A949" s="2"/>
      <c r="B949" s="2"/>
      <c r="C949" s="2"/>
      <c r="D949" s="2"/>
      <c r="E949" s="2"/>
      <c r="F949" s="2"/>
      <c r="U949" s="2"/>
    </row>
    <row r="950" spans="1:21">
      <c r="A950" s="2"/>
      <c r="B950" s="2"/>
      <c r="C950" s="2"/>
      <c r="D950" s="2"/>
      <c r="E950" s="2"/>
      <c r="F950" s="2"/>
      <c r="U950" s="2"/>
    </row>
    <row r="951" spans="1:21">
      <c r="A951" s="2"/>
      <c r="B951" s="2"/>
      <c r="C951" s="2"/>
      <c r="D951" s="2"/>
      <c r="E951" s="2"/>
      <c r="F951" s="2"/>
      <c r="U951" s="2"/>
    </row>
    <row r="952" spans="1:21">
      <c r="A952" s="2"/>
      <c r="B952" s="2"/>
      <c r="C952" s="2"/>
      <c r="D952" s="2"/>
      <c r="E952" s="2"/>
      <c r="F952" s="2"/>
      <c r="U952" s="2"/>
    </row>
    <row r="953" spans="1:21">
      <c r="A953" s="2"/>
      <c r="B953" s="2"/>
      <c r="C953" s="2"/>
      <c r="D953" s="2"/>
      <c r="E953" s="2"/>
      <c r="F953" s="2"/>
      <c r="U953" s="2"/>
    </row>
    <row r="954" spans="1:21">
      <c r="A954" s="2"/>
      <c r="B954" s="2"/>
      <c r="C954" s="2"/>
      <c r="D954" s="2"/>
      <c r="E954" s="2"/>
      <c r="F954" s="2"/>
      <c r="U954" s="2"/>
    </row>
    <row r="955" spans="1:21">
      <c r="A955" s="2"/>
      <c r="B955" s="2"/>
      <c r="C955" s="2"/>
      <c r="D955" s="2"/>
      <c r="E955" s="2"/>
      <c r="F955" s="2"/>
      <c r="U955" s="2"/>
    </row>
    <row r="956" spans="1:21">
      <c r="A956" s="2"/>
      <c r="B956" s="2"/>
      <c r="C956" s="2"/>
      <c r="D956" s="2"/>
      <c r="E956" s="2"/>
      <c r="F956" s="2"/>
      <c r="U956" s="2"/>
    </row>
    <row r="957" spans="1:21">
      <c r="A957" s="2"/>
      <c r="B957" s="2"/>
      <c r="C957" s="2"/>
      <c r="D957" s="2"/>
      <c r="E957" s="2"/>
      <c r="F957" s="2"/>
      <c r="U957" s="2"/>
    </row>
    <row r="958" spans="1:21">
      <c r="A958" s="2"/>
      <c r="B958" s="2"/>
      <c r="C958" s="2"/>
      <c r="D958" s="2"/>
      <c r="E958" s="2"/>
      <c r="F958" s="2"/>
      <c r="U958" s="2"/>
    </row>
    <row r="959" spans="1:21">
      <c r="A959" s="2"/>
      <c r="B959" s="2"/>
      <c r="C959" s="2"/>
      <c r="D959" s="2"/>
      <c r="E959" s="2"/>
      <c r="F959" s="2"/>
      <c r="U959" s="2"/>
    </row>
    <row r="960" spans="1:21">
      <c r="A960" s="2"/>
      <c r="B960" s="2"/>
      <c r="C960" s="2"/>
      <c r="D960" s="2"/>
      <c r="E960" s="2"/>
      <c r="F960" s="2"/>
      <c r="U960" s="2"/>
    </row>
    <row r="961" spans="1:21">
      <c r="A961" s="2"/>
      <c r="B961" s="2"/>
      <c r="C961" s="2"/>
      <c r="D961" s="2"/>
      <c r="E961" s="2"/>
      <c r="F961" s="2"/>
      <c r="U961" s="2"/>
    </row>
    <row r="962" spans="1:21">
      <c r="A962" s="2"/>
      <c r="B962" s="2"/>
      <c r="C962" s="2"/>
      <c r="D962" s="2"/>
      <c r="E962" s="2"/>
      <c r="F962" s="2"/>
      <c r="U962" s="2"/>
    </row>
    <row r="963" spans="1:21">
      <c r="A963" s="2"/>
      <c r="B963" s="2"/>
      <c r="C963" s="2"/>
      <c r="D963" s="2"/>
      <c r="E963" s="2"/>
      <c r="F963" s="2"/>
      <c r="U963" s="2"/>
    </row>
    <row r="964" spans="1:21">
      <c r="A964" s="2"/>
      <c r="B964" s="2"/>
      <c r="C964" s="2"/>
      <c r="D964" s="2"/>
      <c r="E964" s="2"/>
      <c r="F964" s="2"/>
      <c r="U964" s="2"/>
    </row>
    <row r="965" spans="1:21">
      <c r="A965" s="2"/>
      <c r="B965" s="2"/>
      <c r="C965" s="2"/>
      <c r="D965" s="2"/>
      <c r="E965" s="2"/>
      <c r="F965" s="2"/>
      <c r="U965" s="2"/>
    </row>
    <row r="966" spans="1:21">
      <c r="A966" s="2"/>
      <c r="B966" s="2"/>
      <c r="C966" s="2"/>
      <c r="D966" s="2"/>
      <c r="E966" s="2"/>
      <c r="F966" s="2"/>
      <c r="U966" s="2"/>
    </row>
    <row r="967" spans="1:21">
      <c r="A967" s="2"/>
      <c r="B967" s="2"/>
      <c r="C967" s="2"/>
      <c r="D967" s="2"/>
      <c r="E967" s="2"/>
      <c r="F967" s="2"/>
      <c r="U967" s="2"/>
    </row>
    <row r="968" spans="1:21">
      <c r="A968" s="2"/>
      <c r="B968" s="2"/>
      <c r="C968" s="2"/>
      <c r="D968" s="2"/>
      <c r="E968" s="2"/>
      <c r="F968" s="2"/>
      <c r="U968" s="2"/>
    </row>
    <row r="969" spans="1:21">
      <c r="A969" s="2"/>
      <c r="B969" s="2"/>
      <c r="C969" s="2"/>
      <c r="D969" s="2"/>
      <c r="E969" s="2"/>
      <c r="F969" s="2"/>
      <c r="U969" s="2"/>
    </row>
    <row r="970" spans="1:21">
      <c r="A970" s="2"/>
      <c r="B970" s="2"/>
      <c r="C970" s="2"/>
      <c r="D970" s="2"/>
      <c r="E970" s="2"/>
      <c r="F970" s="2"/>
      <c r="U970" s="2"/>
    </row>
    <row r="971" spans="1:21">
      <c r="A971" s="2"/>
      <c r="B971" s="2"/>
      <c r="C971" s="2"/>
      <c r="D971" s="2"/>
      <c r="E971" s="2"/>
      <c r="F971" s="2"/>
      <c r="U971" s="2"/>
    </row>
    <row r="972" spans="1:21">
      <c r="A972" s="2"/>
      <c r="B972" s="2"/>
      <c r="C972" s="2"/>
      <c r="D972" s="2"/>
      <c r="E972" s="2"/>
      <c r="F972" s="2"/>
      <c r="U972" s="2"/>
    </row>
    <row r="973" spans="1:21">
      <c r="A973" s="2"/>
      <c r="B973" s="2"/>
      <c r="C973" s="2"/>
      <c r="D973" s="2"/>
      <c r="E973" s="2"/>
      <c r="F973" s="2"/>
      <c r="U973" s="2"/>
    </row>
    <row r="974" spans="1:21">
      <c r="A974" s="2"/>
      <c r="B974" s="2"/>
      <c r="C974" s="2"/>
      <c r="D974" s="2"/>
      <c r="E974" s="2"/>
      <c r="F974" s="2"/>
      <c r="U974" s="2"/>
    </row>
    <row r="975" spans="1:21">
      <c r="A975" s="2"/>
      <c r="B975" s="2"/>
      <c r="C975" s="2"/>
      <c r="D975" s="2"/>
      <c r="E975" s="2"/>
      <c r="F975" s="2"/>
      <c r="U975" s="2"/>
    </row>
    <row r="976" spans="1:21">
      <c r="A976" s="2"/>
      <c r="B976" s="2"/>
      <c r="C976" s="2"/>
      <c r="D976" s="2"/>
      <c r="E976" s="2"/>
      <c r="F976" s="2"/>
      <c r="U976" s="2"/>
    </row>
    <row r="977" spans="1:21">
      <c r="A977" s="2"/>
      <c r="B977" s="2"/>
      <c r="C977" s="2"/>
      <c r="D977" s="2"/>
      <c r="E977" s="2"/>
      <c r="F977" s="2"/>
      <c r="U977" s="2"/>
    </row>
    <row r="978" spans="1:21">
      <c r="A978" s="2"/>
      <c r="B978" s="2"/>
      <c r="C978" s="2"/>
      <c r="D978" s="2"/>
      <c r="E978" s="2"/>
      <c r="F978" s="2"/>
      <c r="U978" s="2"/>
    </row>
    <row r="979" spans="1:21">
      <c r="A979" s="2"/>
      <c r="B979" s="2"/>
      <c r="C979" s="2"/>
      <c r="D979" s="2"/>
      <c r="E979" s="2"/>
      <c r="F979" s="2"/>
      <c r="U979" s="2"/>
    </row>
    <row r="980" spans="1:21">
      <c r="A980" s="2"/>
      <c r="B980" s="2"/>
      <c r="C980" s="2"/>
      <c r="D980" s="2"/>
      <c r="E980" s="2"/>
      <c r="F980" s="2"/>
      <c r="U980" s="2"/>
    </row>
    <row r="981" spans="1:21">
      <c r="A981" s="2"/>
      <c r="B981" s="2"/>
      <c r="C981" s="2"/>
      <c r="D981" s="2"/>
      <c r="E981" s="2"/>
      <c r="F981" s="2"/>
      <c r="U981" s="2"/>
    </row>
    <row r="982" spans="1:21">
      <c r="A982" s="2"/>
      <c r="B982" s="2"/>
      <c r="C982" s="2"/>
      <c r="D982" s="2"/>
      <c r="E982" s="2"/>
      <c r="F982" s="2"/>
      <c r="U982" s="2"/>
    </row>
    <row r="983" spans="1:21">
      <c r="A983" s="2"/>
      <c r="B983" s="2"/>
      <c r="C983" s="2"/>
      <c r="D983" s="2"/>
      <c r="E983" s="2"/>
      <c r="F983" s="2"/>
      <c r="U983" s="2"/>
    </row>
    <row r="984" spans="1:21">
      <c r="A984" s="2"/>
      <c r="B984" s="2"/>
      <c r="C984" s="2"/>
      <c r="D984" s="2"/>
      <c r="E984" s="2"/>
      <c r="F984" s="2"/>
      <c r="U984" s="2"/>
    </row>
    <row r="985" spans="1:21">
      <c r="A985" s="2"/>
      <c r="B985" s="2"/>
      <c r="C985" s="2"/>
      <c r="D985" s="2"/>
      <c r="E985" s="2"/>
      <c r="F985" s="2"/>
      <c r="U985" s="2"/>
    </row>
    <row r="986" spans="1:21">
      <c r="A986" s="2"/>
      <c r="B986" s="2"/>
      <c r="C986" s="2"/>
      <c r="D986" s="2"/>
      <c r="E986" s="2"/>
      <c r="F986" s="2"/>
      <c r="U986" s="2"/>
    </row>
    <row r="987" spans="1:21">
      <c r="A987" s="2"/>
      <c r="B987" s="2"/>
      <c r="C987" s="2"/>
      <c r="D987" s="2"/>
      <c r="E987" s="2"/>
      <c r="F987" s="2"/>
      <c r="U987" s="2"/>
    </row>
    <row r="988" spans="1:21">
      <c r="A988" s="2"/>
      <c r="B988" s="2"/>
      <c r="C988" s="2"/>
      <c r="D988" s="2"/>
      <c r="E988" s="2"/>
      <c r="F988" s="2"/>
      <c r="U988" s="2"/>
    </row>
    <row r="989" spans="1:21">
      <c r="A989" s="2"/>
      <c r="B989" s="2"/>
      <c r="C989" s="2"/>
      <c r="D989" s="2"/>
      <c r="E989" s="2"/>
      <c r="F989" s="2"/>
      <c r="U989" s="2"/>
    </row>
    <row r="990" spans="1:21">
      <c r="A990" s="2"/>
      <c r="B990" s="2"/>
      <c r="C990" s="2"/>
      <c r="D990" s="2"/>
      <c r="E990" s="2"/>
      <c r="F990" s="2"/>
      <c r="U990" s="2"/>
    </row>
    <row r="991" spans="1:21">
      <c r="A991" s="2"/>
      <c r="B991" s="2"/>
      <c r="C991" s="2"/>
      <c r="D991" s="2"/>
      <c r="E991" s="2"/>
      <c r="F991" s="2"/>
      <c r="U991" s="2"/>
    </row>
    <row r="992" spans="1:21">
      <c r="A992" s="2"/>
      <c r="B992" s="2"/>
      <c r="C992" s="2"/>
      <c r="D992" s="2"/>
      <c r="E992" s="2"/>
      <c r="F992" s="2"/>
      <c r="U992" s="2"/>
    </row>
    <row r="993" spans="1:21">
      <c r="A993" s="2"/>
      <c r="B993" s="2"/>
      <c r="C993" s="2"/>
      <c r="D993" s="2"/>
      <c r="E993" s="2"/>
      <c r="F993" s="2"/>
      <c r="U993" s="2"/>
    </row>
    <row r="994" spans="1:21">
      <c r="A994" s="2"/>
      <c r="B994" s="2"/>
      <c r="C994" s="2"/>
      <c r="D994" s="2"/>
      <c r="E994" s="2"/>
      <c r="F994" s="2"/>
      <c r="U994" s="2"/>
    </row>
    <row r="995" spans="1:21">
      <c r="A995" s="2"/>
      <c r="B995" s="2"/>
      <c r="C995" s="2"/>
      <c r="D995" s="2"/>
      <c r="E995" s="2"/>
      <c r="F995" s="2"/>
      <c r="U995" s="2"/>
    </row>
    <row r="996" spans="1:21">
      <c r="A996" s="2"/>
      <c r="B996" s="2"/>
      <c r="C996" s="2"/>
      <c r="D996" s="2"/>
      <c r="E996" s="2"/>
      <c r="F996" s="2"/>
      <c r="U996" s="2"/>
    </row>
    <row r="997" spans="1:21">
      <c r="A997" s="2"/>
      <c r="B997" s="2"/>
      <c r="C997" s="2"/>
      <c r="D997" s="2"/>
      <c r="E997" s="2"/>
      <c r="F997" s="2"/>
      <c r="U997" s="2"/>
    </row>
    <row r="998" spans="1:21">
      <c r="A998" s="2"/>
      <c r="B998" s="2"/>
      <c r="C998" s="2"/>
      <c r="D998" s="2"/>
      <c r="E998" s="2"/>
      <c r="F998" s="2"/>
      <c r="U998" s="2"/>
    </row>
    <row r="999" spans="1:21">
      <c r="A999" s="2"/>
      <c r="B999" s="2"/>
      <c r="C999" s="2"/>
      <c r="D999" s="2"/>
      <c r="E999" s="2"/>
      <c r="F999" s="2"/>
      <c r="U999" s="2"/>
    </row>
    <row r="1000" spans="1:21">
      <c r="A1000" s="2"/>
      <c r="B1000" s="2"/>
      <c r="C1000" s="2"/>
      <c r="D1000" s="2"/>
      <c r="E1000" s="2"/>
      <c r="F1000" s="2"/>
      <c r="U1000" s="2"/>
    </row>
    <row r="1001" spans="1:21">
      <c r="A1001" s="2"/>
      <c r="B1001" s="2"/>
      <c r="C1001" s="2"/>
      <c r="D1001" s="2"/>
      <c r="E1001" s="2"/>
      <c r="F1001" s="2"/>
      <c r="U1001" s="2"/>
    </row>
    <row r="1002" spans="1:21">
      <c r="A1002" s="2"/>
      <c r="B1002" s="2"/>
      <c r="C1002" s="2"/>
      <c r="D1002" s="2"/>
      <c r="E1002" s="2"/>
      <c r="F1002" s="2"/>
      <c r="U1002" s="2"/>
    </row>
    <row r="1003" spans="1:21">
      <c r="A1003" s="2"/>
      <c r="B1003" s="2"/>
      <c r="C1003" s="2"/>
      <c r="D1003" s="2"/>
      <c r="E1003" s="2"/>
      <c r="F1003" s="2"/>
      <c r="U1003" s="2"/>
    </row>
    <row r="1004" spans="1:21">
      <c r="A1004" s="2"/>
      <c r="B1004" s="2"/>
      <c r="C1004" s="2"/>
      <c r="D1004" s="2"/>
      <c r="E1004" s="2"/>
      <c r="F1004" s="2"/>
      <c r="U1004" s="2"/>
    </row>
    <row r="1005" spans="1:21">
      <c r="A1005" s="2"/>
      <c r="B1005" s="2"/>
      <c r="C1005" s="2"/>
      <c r="D1005" s="2"/>
      <c r="E1005" s="2"/>
      <c r="F1005" s="2"/>
      <c r="U1005" s="2"/>
    </row>
    <row r="1006" spans="1:21">
      <c r="A1006" s="2"/>
      <c r="B1006" s="2"/>
      <c r="C1006" s="2"/>
      <c r="D1006" s="2"/>
      <c r="E1006" s="2"/>
      <c r="F1006" s="2"/>
      <c r="U1006" s="2"/>
    </row>
    <row r="1007" spans="1:21">
      <c r="A1007" s="2"/>
      <c r="B1007" s="2"/>
      <c r="C1007" s="2"/>
      <c r="D1007" s="2"/>
      <c r="E1007" s="2"/>
      <c r="F1007" s="2"/>
      <c r="U1007" s="2"/>
    </row>
    <row r="1008" spans="1:21">
      <c r="A1008" s="2"/>
      <c r="B1008" s="2"/>
      <c r="C1008" s="2"/>
      <c r="D1008" s="2"/>
      <c r="E1008" s="2"/>
      <c r="F1008" s="2"/>
      <c r="U1008" s="2"/>
    </row>
    <row r="1009" spans="1:21">
      <c r="A1009" s="2"/>
      <c r="B1009" s="2"/>
      <c r="C1009" s="2"/>
      <c r="D1009" s="2"/>
      <c r="E1009" s="2"/>
      <c r="F1009" s="2"/>
      <c r="U1009" s="2"/>
    </row>
    <row r="1010" spans="1:21">
      <c r="A1010" s="2"/>
      <c r="B1010" s="2"/>
      <c r="C1010" s="2"/>
      <c r="D1010" s="2"/>
      <c r="E1010" s="2"/>
      <c r="F1010" s="2"/>
      <c r="U1010" s="2"/>
    </row>
    <row r="1011" spans="1:21">
      <c r="A1011" s="2"/>
      <c r="B1011" s="2"/>
      <c r="C1011" s="2"/>
      <c r="D1011" s="2"/>
      <c r="E1011" s="2"/>
      <c r="F1011" s="2"/>
      <c r="U1011" s="2"/>
    </row>
    <row r="1012" spans="1:21">
      <c r="A1012" s="2"/>
      <c r="B1012" s="2"/>
      <c r="C1012" s="2"/>
      <c r="D1012" s="2"/>
      <c r="E1012" s="2"/>
      <c r="F1012" s="2"/>
      <c r="U1012" s="2"/>
    </row>
    <row r="1013" spans="1:21">
      <c r="A1013" s="2"/>
      <c r="B1013" s="2"/>
      <c r="C1013" s="2"/>
      <c r="D1013" s="2"/>
      <c r="E1013" s="2"/>
      <c r="F1013" s="2"/>
      <c r="U1013" s="2"/>
    </row>
    <row r="1014" spans="1:21">
      <c r="A1014" s="2"/>
      <c r="B1014" s="2"/>
      <c r="C1014" s="2"/>
      <c r="D1014" s="2"/>
      <c r="E1014" s="2"/>
      <c r="F1014" s="2"/>
      <c r="U1014" s="2"/>
    </row>
    <row r="1015" spans="1:21">
      <c r="A1015" s="2"/>
      <c r="B1015" s="2"/>
      <c r="C1015" s="2"/>
      <c r="D1015" s="2"/>
      <c r="E1015" s="2"/>
      <c r="F1015" s="2"/>
      <c r="U1015" s="2"/>
    </row>
    <row r="1016" spans="1:21">
      <c r="A1016" s="2"/>
      <c r="B1016" s="2"/>
      <c r="C1016" s="2"/>
      <c r="D1016" s="2"/>
      <c r="E1016" s="2"/>
      <c r="F1016" s="2"/>
      <c r="U1016" s="2"/>
    </row>
    <row r="1017" spans="1:21">
      <c r="A1017" s="2"/>
      <c r="B1017" s="2"/>
      <c r="C1017" s="2"/>
      <c r="D1017" s="2"/>
      <c r="E1017" s="2"/>
      <c r="F1017" s="2"/>
      <c r="U1017" s="2"/>
    </row>
    <row r="1018" spans="1:21">
      <c r="A1018" s="2"/>
      <c r="B1018" s="2"/>
      <c r="C1018" s="2"/>
      <c r="D1018" s="2"/>
      <c r="E1018" s="2"/>
      <c r="F1018" s="2"/>
      <c r="U1018" s="2"/>
    </row>
    <row r="1019" spans="1:21">
      <c r="A1019" s="2"/>
      <c r="B1019" s="2"/>
      <c r="C1019" s="2"/>
      <c r="D1019" s="2"/>
      <c r="E1019" s="2"/>
      <c r="F1019" s="2"/>
      <c r="U1019" s="2"/>
    </row>
    <row r="1020" spans="1:21">
      <c r="A1020" s="2"/>
      <c r="B1020" s="2"/>
      <c r="C1020" s="2"/>
      <c r="D1020" s="2"/>
      <c r="E1020" s="2"/>
      <c r="F1020" s="2"/>
      <c r="U1020" s="2"/>
    </row>
    <row r="1021" spans="1:21">
      <c r="A1021" s="2"/>
      <c r="B1021" s="2"/>
      <c r="C1021" s="2"/>
      <c r="D1021" s="2"/>
      <c r="E1021" s="2"/>
      <c r="F1021" s="2"/>
      <c r="U1021" s="2"/>
    </row>
    <row r="1022" spans="1:21">
      <c r="A1022" s="2"/>
      <c r="B1022" s="2"/>
      <c r="C1022" s="2"/>
      <c r="D1022" s="2"/>
      <c r="E1022" s="2"/>
      <c r="F1022" s="2"/>
      <c r="U1022" s="2"/>
    </row>
    <row r="1023" spans="1:21">
      <c r="A1023" s="2"/>
      <c r="B1023" s="2"/>
      <c r="C1023" s="2"/>
      <c r="D1023" s="2"/>
      <c r="E1023" s="2"/>
      <c r="F1023" s="2"/>
      <c r="U1023" s="2"/>
    </row>
    <row r="1024" spans="1:21">
      <c r="A1024" s="2"/>
      <c r="B1024" s="2"/>
      <c r="C1024" s="2"/>
      <c r="D1024" s="2"/>
      <c r="E1024" s="2"/>
      <c r="F1024" s="2"/>
      <c r="U1024" s="2"/>
    </row>
    <row r="1025" spans="1:21">
      <c r="A1025" s="2"/>
      <c r="B1025" s="2"/>
      <c r="C1025" s="2"/>
      <c r="D1025" s="2"/>
      <c r="E1025" s="2"/>
      <c r="F1025" s="2"/>
      <c r="U1025" s="2"/>
    </row>
    <row r="1026" spans="1:21">
      <c r="A1026" s="2"/>
      <c r="B1026" s="2"/>
      <c r="C1026" s="2"/>
      <c r="D1026" s="2"/>
      <c r="E1026" s="2"/>
      <c r="F1026" s="2"/>
      <c r="U1026" s="2"/>
    </row>
    <row r="1027" spans="1:21">
      <c r="A1027" s="2"/>
      <c r="B1027" s="2"/>
      <c r="C1027" s="2"/>
      <c r="D1027" s="2"/>
      <c r="E1027" s="2"/>
      <c r="F1027" s="2"/>
      <c r="U1027" s="2"/>
    </row>
    <row r="1028" spans="1:21">
      <c r="A1028" s="2"/>
      <c r="B1028" s="2"/>
      <c r="C1028" s="2"/>
      <c r="D1028" s="2"/>
      <c r="E1028" s="2"/>
      <c r="F1028" s="2"/>
      <c r="U1028" s="2"/>
    </row>
    <row r="1029" spans="1:21">
      <c r="A1029" s="2"/>
      <c r="B1029" s="2"/>
      <c r="C1029" s="2"/>
      <c r="D1029" s="2"/>
      <c r="E1029" s="2"/>
      <c r="F1029" s="2"/>
      <c r="U1029" s="2"/>
    </row>
    <row r="1030" spans="1:21">
      <c r="A1030" s="2"/>
      <c r="B1030" s="2"/>
      <c r="C1030" s="2"/>
      <c r="D1030" s="2"/>
      <c r="E1030" s="2"/>
      <c r="F1030" s="2"/>
      <c r="U1030" s="2"/>
    </row>
    <row r="1031" spans="1:21">
      <c r="A1031" s="2"/>
      <c r="B1031" s="2"/>
      <c r="C1031" s="2"/>
      <c r="D1031" s="2"/>
      <c r="E1031" s="2"/>
      <c r="F1031" s="2"/>
      <c r="U1031" s="2"/>
    </row>
    <row r="1032" spans="1:21">
      <c r="A1032" s="2"/>
      <c r="B1032" s="2"/>
      <c r="C1032" s="2"/>
      <c r="D1032" s="2"/>
      <c r="E1032" s="2"/>
      <c r="F1032" s="2"/>
      <c r="U1032" s="2"/>
    </row>
    <row r="1033" spans="1:21">
      <c r="A1033" s="2"/>
      <c r="B1033" s="2"/>
      <c r="C1033" s="2"/>
      <c r="D1033" s="2"/>
      <c r="E1033" s="2"/>
      <c r="F1033" s="2"/>
      <c r="U1033" s="2"/>
    </row>
    <row r="1034" spans="1:21">
      <c r="A1034" s="2"/>
      <c r="B1034" s="2"/>
      <c r="C1034" s="2"/>
      <c r="D1034" s="2"/>
      <c r="E1034" s="2"/>
      <c r="F1034" s="2"/>
      <c r="U1034" s="2"/>
    </row>
    <row r="1035" spans="1:21">
      <c r="A1035" s="2"/>
      <c r="B1035" s="2"/>
      <c r="C1035" s="2"/>
      <c r="D1035" s="2"/>
      <c r="E1035" s="2"/>
      <c r="F1035" s="2"/>
      <c r="U1035" s="2"/>
    </row>
    <row r="1036" spans="1:21">
      <c r="A1036" s="2"/>
      <c r="B1036" s="2"/>
      <c r="C1036" s="2"/>
      <c r="D1036" s="2"/>
      <c r="E1036" s="2"/>
      <c r="F1036" s="2"/>
      <c r="U1036" s="2"/>
    </row>
    <row r="1037" spans="1:21">
      <c r="A1037" s="2"/>
      <c r="B1037" s="2"/>
      <c r="C1037" s="2"/>
      <c r="D1037" s="2"/>
      <c r="E1037" s="2"/>
      <c r="F1037" s="2"/>
      <c r="U1037" s="2"/>
    </row>
    <row r="1038" spans="1:21">
      <c r="A1038" s="2"/>
      <c r="B1038" s="2"/>
      <c r="C1038" s="2"/>
      <c r="D1038" s="2"/>
      <c r="E1038" s="2"/>
      <c r="F1038" s="2"/>
      <c r="U1038" s="2"/>
    </row>
    <row r="1039" spans="1:21">
      <c r="A1039" s="2"/>
      <c r="B1039" s="2"/>
      <c r="C1039" s="2"/>
      <c r="D1039" s="2"/>
      <c r="E1039" s="2"/>
      <c r="F1039" s="2"/>
      <c r="U1039" s="2"/>
    </row>
    <row r="1040" spans="1:21">
      <c r="A1040" s="2"/>
      <c r="B1040" s="2"/>
      <c r="C1040" s="2"/>
      <c r="D1040" s="2"/>
      <c r="E1040" s="2"/>
      <c r="F1040" s="2"/>
      <c r="U1040" s="2"/>
    </row>
    <row r="1041" spans="1:21">
      <c r="A1041" s="2"/>
      <c r="B1041" s="2"/>
      <c r="C1041" s="2"/>
      <c r="D1041" s="2"/>
      <c r="E1041" s="2"/>
      <c r="F1041" s="2"/>
      <c r="U1041" s="2"/>
    </row>
    <row r="1042" spans="1:21">
      <c r="A1042" s="2"/>
      <c r="B1042" s="2"/>
      <c r="C1042" s="2"/>
      <c r="D1042" s="2"/>
      <c r="E1042" s="2"/>
      <c r="F1042" s="2"/>
      <c r="U1042" s="2"/>
    </row>
    <row r="1043" spans="1:21">
      <c r="A1043" s="2"/>
      <c r="B1043" s="2"/>
      <c r="C1043" s="2"/>
      <c r="D1043" s="2"/>
      <c r="E1043" s="2"/>
      <c r="F1043" s="2"/>
      <c r="U1043" s="2"/>
    </row>
    <row r="1044" spans="1:21">
      <c r="A1044" s="2"/>
      <c r="B1044" s="2"/>
      <c r="C1044" s="2"/>
      <c r="D1044" s="2"/>
      <c r="E1044" s="2"/>
      <c r="F1044" s="2"/>
      <c r="U1044" s="2"/>
    </row>
    <row r="1045" spans="1:21">
      <c r="A1045" s="2"/>
      <c r="B1045" s="2"/>
      <c r="C1045" s="2"/>
      <c r="D1045" s="2"/>
      <c r="E1045" s="2"/>
      <c r="F1045" s="2"/>
      <c r="U1045" s="2"/>
    </row>
    <row r="1046" spans="1:21">
      <c r="A1046" s="2"/>
      <c r="B1046" s="2"/>
      <c r="C1046" s="2"/>
      <c r="D1046" s="2"/>
      <c r="E1046" s="2"/>
      <c r="F1046" s="2"/>
      <c r="U1046" s="2"/>
    </row>
    <row r="1047" spans="1:21">
      <c r="A1047" s="2"/>
      <c r="B1047" s="2"/>
      <c r="C1047" s="2"/>
      <c r="D1047" s="2"/>
      <c r="E1047" s="2"/>
      <c r="F1047" s="2"/>
      <c r="U1047" s="2"/>
    </row>
    <row r="1048" spans="1:21">
      <c r="A1048" s="2"/>
      <c r="B1048" s="2"/>
      <c r="C1048" s="2"/>
      <c r="D1048" s="2"/>
      <c r="E1048" s="2"/>
      <c r="F1048" s="2"/>
      <c r="U1048" s="2"/>
    </row>
    <row r="1049" spans="1:21">
      <c r="A1049" s="2"/>
      <c r="B1049" s="2"/>
      <c r="C1049" s="2"/>
      <c r="D1049" s="2"/>
      <c r="E1049" s="2"/>
      <c r="F1049" s="2"/>
      <c r="U1049" s="2"/>
    </row>
    <row r="1050" spans="1:21">
      <c r="A1050" s="2"/>
      <c r="B1050" s="2"/>
      <c r="C1050" s="2"/>
      <c r="D1050" s="2"/>
      <c r="E1050" s="2"/>
      <c r="F1050" s="2"/>
      <c r="U1050" s="2"/>
    </row>
    <row r="1051" spans="1:21">
      <c r="A1051" s="2"/>
      <c r="B1051" s="2"/>
      <c r="C1051" s="2"/>
      <c r="D1051" s="2"/>
      <c r="E1051" s="2"/>
      <c r="F1051" s="2"/>
      <c r="U1051" s="2"/>
    </row>
    <row r="1052" spans="1:21">
      <c r="A1052" s="2"/>
      <c r="B1052" s="2"/>
      <c r="C1052" s="2"/>
      <c r="D1052" s="2"/>
      <c r="E1052" s="2"/>
      <c r="F1052" s="2"/>
      <c r="U1052" s="2"/>
    </row>
    <row r="1053" spans="1:21">
      <c r="A1053" s="2"/>
      <c r="B1053" s="2"/>
      <c r="C1053" s="2"/>
      <c r="D1053" s="2"/>
      <c r="E1053" s="2"/>
      <c r="F1053" s="2"/>
      <c r="U1053" s="2"/>
    </row>
    <row r="1054" spans="1:21">
      <c r="A1054" s="2"/>
      <c r="B1054" s="2"/>
      <c r="C1054" s="2"/>
      <c r="D1054" s="2"/>
      <c r="E1054" s="2"/>
      <c r="F1054" s="2"/>
      <c r="U1054" s="2"/>
    </row>
    <row r="1055" spans="1:21">
      <c r="A1055" s="2"/>
      <c r="B1055" s="2"/>
      <c r="C1055" s="2"/>
      <c r="D1055" s="2"/>
      <c r="E1055" s="2"/>
      <c r="F1055" s="2"/>
      <c r="U1055" s="2"/>
    </row>
    <row r="1056" spans="1:21">
      <c r="A1056" s="2"/>
      <c r="B1056" s="2"/>
      <c r="C1056" s="2"/>
      <c r="D1056" s="2"/>
      <c r="E1056" s="2"/>
      <c r="F1056" s="2"/>
      <c r="U1056" s="2"/>
    </row>
    <row r="1057" spans="1:21">
      <c r="A1057" s="2"/>
      <c r="B1057" s="2"/>
      <c r="C1057" s="2"/>
      <c r="D1057" s="2"/>
      <c r="E1057" s="2"/>
      <c r="F1057" s="2"/>
      <c r="U1057" s="2"/>
    </row>
    <row r="1058" spans="1:21">
      <c r="A1058" s="2"/>
      <c r="B1058" s="2"/>
      <c r="C1058" s="2"/>
      <c r="D1058" s="2"/>
      <c r="E1058" s="2"/>
      <c r="F1058" s="2"/>
      <c r="U1058" s="2"/>
    </row>
    <row r="1059" spans="1:21">
      <c r="A1059" s="2"/>
      <c r="B1059" s="2"/>
      <c r="C1059" s="2"/>
      <c r="D1059" s="2"/>
      <c r="E1059" s="2"/>
      <c r="F1059" s="2"/>
      <c r="U1059" s="2"/>
    </row>
    <row r="1060" spans="1:21">
      <c r="A1060" s="2"/>
      <c r="B1060" s="2"/>
      <c r="C1060" s="2"/>
      <c r="D1060" s="2"/>
      <c r="E1060" s="2"/>
      <c r="F1060" s="2"/>
      <c r="U1060" s="2"/>
    </row>
    <row r="1061" spans="1:21">
      <c r="A1061" s="2"/>
      <c r="B1061" s="2"/>
      <c r="C1061" s="2"/>
      <c r="D1061" s="2"/>
      <c r="E1061" s="2"/>
      <c r="F1061" s="2"/>
      <c r="U1061" s="2"/>
    </row>
    <row r="1062" spans="1:21">
      <c r="A1062" s="2"/>
      <c r="B1062" s="2"/>
      <c r="C1062" s="2"/>
      <c r="D1062" s="2"/>
      <c r="E1062" s="2"/>
      <c r="F1062" s="2"/>
      <c r="U1062" s="2"/>
    </row>
    <row r="1063" spans="1:21">
      <c r="A1063" s="2"/>
      <c r="B1063" s="2"/>
      <c r="C1063" s="2"/>
      <c r="D1063" s="2"/>
      <c r="E1063" s="2"/>
      <c r="F1063" s="2"/>
      <c r="U1063" s="2"/>
    </row>
    <row r="1064" spans="1:21">
      <c r="A1064" s="2"/>
      <c r="B1064" s="2"/>
      <c r="C1064" s="2"/>
      <c r="D1064" s="2"/>
      <c r="E1064" s="2"/>
      <c r="F1064" s="2"/>
      <c r="U1064" s="2"/>
    </row>
    <row r="1065" spans="1:21">
      <c r="A1065" s="2"/>
      <c r="B1065" s="2"/>
      <c r="C1065" s="2"/>
      <c r="D1065" s="2"/>
      <c r="E1065" s="2"/>
      <c r="F1065" s="2"/>
      <c r="U1065" s="2"/>
    </row>
    <row r="1066" spans="1:21">
      <c r="A1066" s="2"/>
      <c r="B1066" s="2"/>
      <c r="C1066" s="2"/>
      <c r="D1066" s="2"/>
      <c r="E1066" s="2"/>
      <c r="F1066" s="2"/>
      <c r="U1066" s="2"/>
    </row>
    <row r="1067" spans="1:21">
      <c r="A1067" s="2"/>
      <c r="B1067" s="2"/>
      <c r="C1067" s="2"/>
      <c r="D1067" s="2"/>
      <c r="E1067" s="2"/>
      <c r="F1067" s="2"/>
      <c r="U1067" s="2"/>
    </row>
    <row r="1068" spans="1:21">
      <c r="A1068" s="2"/>
      <c r="B1068" s="2"/>
      <c r="C1068" s="2"/>
      <c r="D1068" s="2"/>
      <c r="E1068" s="2"/>
      <c r="F1068" s="2"/>
      <c r="U1068" s="2"/>
    </row>
    <row r="1069" spans="1:21">
      <c r="A1069" s="2"/>
      <c r="B1069" s="2"/>
      <c r="C1069" s="2"/>
      <c r="D1069" s="2"/>
      <c r="E1069" s="2"/>
      <c r="F1069" s="2"/>
      <c r="U1069" s="2"/>
    </row>
    <row r="1070" spans="1:21">
      <c r="A1070" s="2"/>
      <c r="B1070" s="2"/>
      <c r="C1070" s="2"/>
      <c r="D1070" s="2"/>
      <c r="E1070" s="2"/>
      <c r="F1070" s="2"/>
      <c r="U1070" s="2"/>
    </row>
    <row r="1071" spans="1:21">
      <c r="A1071" s="2"/>
      <c r="B1071" s="2"/>
      <c r="C1071" s="2"/>
      <c r="D1071" s="2"/>
      <c r="E1071" s="2"/>
      <c r="F1071" s="2"/>
      <c r="U1071" s="2"/>
    </row>
    <row r="1072" spans="1:21">
      <c r="A1072" s="2"/>
      <c r="B1072" s="2"/>
      <c r="C1072" s="2"/>
      <c r="D1072" s="2"/>
      <c r="E1072" s="2"/>
      <c r="F1072" s="2"/>
      <c r="U1072" s="2"/>
    </row>
    <row r="1073" spans="1:21">
      <c r="A1073" s="2"/>
      <c r="B1073" s="2"/>
      <c r="C1073" s="2"/>
      <c r="D1073" s="2"/>
      <c r="E1073" s="2"/>
      <c r="F1073" s="2"/>
      <c r="U1073" s="2"/>
    </row>
    <row r="1074" spans="1:21">
      <c r="A1074" s="2"/>
      <c r="B1074" s="2"/>
      <c r="C1074" s="2"/>
      <c r="D1074" s="2"/>
      <c r="E1074" s="2"/>
      <c r="F1074" s="2"/>
      <c r="U1074" s="2"/>
    </row>
    <row r="1075" spans="1:21">
      <c r="A1075" s="2"/>
      <c r="B1075" s="2"/>
      <c r="C1075" s="2"/>
      <c r="D1075" s="2"/>
      <c r="E1075" s="2"/>
      <c r="F1075" s="2"/>
      <c r="U1075" s="2"/>
    </row>
    <row r="1076" spans="1:21">
      <c r="A1076" s="2"/>
      <c r="B1076" s="2"/>
      <c r="C1076" s="2"/>
      <c r="D1076" s="2"/>
      <c r="E1076" s="2"/>
      <c r="F1076" s="2"/>
      <c r="U1076" s="2"/>
    </row>
    <row r="1077" spans="1:21">
      <c r="A1077" s="2"/>
      <c r="B1077" s="2"/>
      <c r="C1077" s="2"/>
      <c r="D1077" s="2"/>
      <c r="E1077" s="2"/>
      <c r="F1077" s="2"/>
      <c r="U1077" s="2"/>
    </row>
    <row r="1078" spans="1:21">
      <c r="A1078" s="2"/>
      <c r="B1078" s="2"/>
      <c r="C1078" s="2"/>
      <c r="D1078" s="2"/>
      <c r="E1078" s="2"/>
      <c r="F1078" s="2"/>
      <c r="U1078" s="2"/>
    </row>
    <row r="1079" spans="1:21">
      <c r="A1079" s="2"/>
      <c r="B1079" s="2"/>
      <c r="C1079" s="2"/>
      <c r="D1079" s="2"/>
      <c r="E1079" s="2"/>
      <c r="F1079" s="2"/>
      <c r="U1079" s="2"/>
    </row>
    <row r="1080" spans="1:21">
      <c r="A1080" s="2"/>
      <c r="B1080" s="2"/>
      <c r="C1080" s="2"/>
      <c r="D1080" s="2"/>
      <c r="E1080" s="2"/>
      <c r="F1080" s="2"/>
      <c r="U1080" s="2"/>
    </row>
    <row r="1081" spans="1:21">
      <c r="A1081" s="2"/>
      <c r="B1081" s="2"/>
      <c r="C1081" s="2"/>
      <c r="D1081" s="2"/>
      <c r="E1081" s="2"/>
      <c r="F1081" s="2"/>
      <c r="U1081" s="2"/>
    </row>
    <row r="1082" spans="1:21">
      <c r="A1082" s="2"/>
      <c r="B1082" s="2"/>
      <c r="C1082" s="2"/>
      <c r="D1082" s="2"/>
      <c r="E1082" s="2"/>
      <c r="F1082" s="2"/>
      <c r="U1082" s="2"/>
    </row>
    <row r="1083" spans="1:21">
      <c r="A1083" s="2"/>
      <c r="B1083" s="2"/>
      <c r="C1083" s="2"/>
      <c r="D1083" s="2"/>
      <c r="E1083" s="2"/>
      <c r="F1083" s="2"/>
      <c r="U1083" s="2"/>
    </row>
    <row r="1084" spans="1:21">
      <c r="A1084" s="2"/>
      <c r="B1084" s="2"/>
      <c r="C1084" s="2"/>
      <c r="D1084" s="2"/>
      <c r="E1084" s="2"/>
      <c r="F1084" s="2"/>
      <c r="U1084" s="2"/>
    </row>
    <row r="1085" spans="1:21">
      <c r="A1085" s="2"/>
      <c r="B1085" s="2"/>
      <c r="C1085" s="2"/>
      <c r="D1085" s="2"/>
      <c r="E1085" s="2"/>
      <c r="F1085" s="2"/>
      <c r="U1085" s="2"/>
    </row>
    <row r="1086" spans="1:21">
      <c r="A1086" s="2"/>
      <c r="B1086" s="2"/>
      <c r="C1086" s="2"/>
      <c r="D1086" s="2"/>
      <c r="E1086" s="2"/>
      <c r="F1086" s="2"/>
      <c r="U1086" s="2"/>
    </row>
    <row r="1087" spans="1:21">
      <c r="A1087" s="2"/>
      <c r="B1087" s="2"/>
      <c r="C1087" s="2"/>
      <c r="D1087" s="2"/>
      <c r="E1087" s="2"/>
      <c r="F1087" s="2"/>
      <c r="U1087" s="2"/>
    </row>
    <row r="1088" spans="1:21">
      <c r="A1088" s="2"/>
      <c r="B1088" s="2"/>
      <c r="C1088" s="2"/>
      <c r="D1088" s="2"/>
      <c r="E1088" s="2"/>
      <c r="F1088" s="2"/>
      <c r="U1088" s="2"/>
    </row>
    <row r="1089" spans="1:21">
      <c r="A1089" s="2"/>
      <c r="B1089" s="2"/>
      <c r="C1089" s="2"/>
      <c r="D1089" s="2"/>
      <c r="E1089" s="2"/>
      <c r="F1089" s="2"/>
      <c r="U1089" s="2"/>
    </row>
    <row r="1090" spans="1:21">
      <c r="A1090" s="2"/>
      <c r="B1090" s="2"/>
      <c r="C1090" s="2"/>
      <c r="D1090" s="2"/>
      <c r="E1090" s="2"/>
      <c r="F1090" s="2"/>
      <c r="U1090" s="2"/>
    </row>
    <row r="1091" spans="1:21">
      <c r="A1091" s="2"/>
      <c r="B1091" s="2"/>
      <c r="C1091" s="2"/>
      <c r="D1091" s="2"/>
      <c r="E1091" s="2"/>
      <c r="F1091" s="2"/>
      <c r="U1091" s="2"/>
    </row>
    <row r="1092" spans="1:21">
      <c r="A1092" s="2"/>
      <c r="B1092" s="2"/>
      <c r="C1092" s="2"/>
      <c r="D1092" s="2"/>
      <c r="E1092" s="2"/>
      <c r="F1092" s="2"/>
      <c r="U1092" s="2"/>
    </row>
    <row r="1093" spans="1:21">
      <c r="A1093" s="2"/>
      <c r="B1093" s="2"/>
      <c r="C1093" s="2"/>
      <c r="D1093" s="2"/>
      <c r="E1093" s="2"/>
      <c r="F1093" s="2"/>
      <c r="U1093" s="2"/>
    </row>
    <row r="1094" spans="1:21">
      <c r="A1094" s="2"/>
      <c r="B1094" s="2"/>
      <c r="C1094" s="2"/>
      <c r="D1094" s="2"/>
      <c r="E1094" s="2"/>
      <c r="F1094" s="2"/>
      <c r="U1094" s="2"/>
    </row>
    <row r="1095" spans="1:21">
      <c r="A1095" s="2"/>
      <c r="B1095" s="2"/>
      <c r="C1095" s="2"/>
      <c r="D1095" s="2"/>
      <c r="E1095" s="2"/>
      <c r="F1095" s="2"/>
      <c r="U1095" s="2"/>
    </row>
    <row r="1096" spans="1:21">
      <c r="A1096" s="2"/>
      <c r="B1096" s="2"/>
      <c r="C1096" s="2"/>
      <c r="D1096" s="2"/>
      <c r="E1096" s="2"/>
      <c r="F1096" s="2"/>
      <c r="U1096" s="2"/>
    </row>
    <row r="1097" spans="1:21">
      <c r="A1097" s="2"/>
      <c r="B1097" s="2"/>
      <c r="C1097" s="2"/>
      <c r="D1097" s="2"/>
      <c r="E1097" s="2"/>
      <c r="F1097" s="2"/>
      <c r="U1097" s="2"/>
    </row>
    <row r="1098" spans="1:21">
      <c r="A1098" s="2"/>
      <c r="B1098" s="2"/>
      <c r="C1098" s="2"/>
      <c r="D1098" s="2"/>
      <c r="E1098" s="2"/>
      <c r="F1098" s="2"/>
      <c r="U1098" s="2"/>
    </row>
  </sheetData>
  <mergeCells count="28">
    <mergeCell ref="A5:U5"/>
    <mergeCell ref="A7:U7"/>
    <mergeCell ref="U8:U10"/>
    <mergeCell ref="J8:J9"/>
    <mergeCell ref="L8:L9"/>
    <mergeCell ref="M8:T9"/>
    <mergeCell ref="V8:V10"/>
    <mergeCell ref="V31:V45"/>
    <mergeCell ref="V54:V56"/>
    <mergeCell ref="V74:V82"/>
    <mergeCell ref="A53:U53"/>
    <mergeCell ref="U54:U56"/>
    <mergeCell ref="J54:J55"/>
    <mergeCell ref="A119:A120"/>
    <mergeCell ref="A150:A151"/>
    <mergeCell ref="F113:H114"/>
    <mergeCell ref="L54:L55"/>
    <mergeCell ref="M54:T55"/>
    <mergeCell ref="X11:Y11"/>
    <mergeCell ref="L217:Q217"/>
    <mergeCell ref="N218:S218"/>
    <mergeCell ref="N219:S219"/>
    <mergeCell ref="N220:S220"/>
    <mergeCell ref="N225:S225"/>
    <mergeCell ref="N221:S221"/>
    <mergeCell ref="N222:S222"/>
    <mergeCell ref="N223:S223"/>
    <mergeCell ref="N224:S224"/>
  </mergeCells>
  <printOptions horizontalCentered="1"/>
  <pageMargins left="0.23622047244094491" right="0.19685039370078741" top="0.43307086614173229" bottom="0.31496062992125984" header="0.15748031496062992" footer="0.15748031496062992"/>
  <pageSetup paperSize="9" scale="65" firstPageNumber="29" orientation="landscape" useFirstPageNumber="1" r:id="rId1"/>
  <headerFooter alignWithMargins="0">
    <oddHeader>&amp;C&amp;"Arial,Kursywa"Wieloletnia prognoza finansowa Województwa Zachodniopomorskiego na lata 2016 - 2038 
____________________________________________________________________________________________________________________</oddHeader>
    <oddFooter>&amp;C&amp;8&amp;P</oddFooter>
  </headerFooter>
  <rowBreaks count="2" manualBreakCount="2">
    <brk id="52" max="15" man="1"/>
    <brk id="92" max="15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K546"/>
  <sheetViews>
    <sheetView showGridLines="0" view="pageBreakPreview" zoomScale="110" zoomScaleNormal="100" zoomScaleSheetLayoutView="110" workbookViewId="0">
      <pane xSplit="4" ySplit="8" topLeftCell="M266" activePane="bottomRight" state="frozen"/>
      <selection activeCell="U30" sqref="U30"/>
      <selection pane="topRight" activeCell="U30" sqref="U30"/>
      <selection pane="bottomLeft" activeCell="U30" sqref="U30"/>
      <selection pane="bottomRight" activeCell="O277" sqref="O277"/>
    </sheetView>
  </sheetViews>
  <sheetFormatPr defaultColWidth="9.140625" defaultRowHeight="12.75"/>
  <cols>
    <col min="1" max="1" width="3.42578125" style="1769" customWidth="1"/>
    <col min="2" max="2" width="58.7109375" style="1769" customWidth="1"/>
    <col min="3" max="3" width="10.28515625" style="1769" customWidth="1"/>
    <col min="4" max="4" width="12.42578125" style="1769" customWidth="1"/>
    <col min="5" max="5" width="11.85546875" style="1769" hidden="1" customWidth="1"/>
    <col min="6" max="8" width="11.7109375" style="1769" hidden="1" customWidth="1"/>
    <col min="9" max="9" width="11.140625" style="1769" hidden="1" customWidth="1"/>
    <col min="10" max="10" width="11.42578125" style="1769" hidden="1" customWidth="1"/>
    <col min="11" max="11" width="11" style="1769" hidden="1" customWidth="1"/>
    <col min="12" max="12" width="12.28515625" style="1769" hidden="1" customWidth="1"/>
    <col min="13" max="13" width="12.28515625" style="1769" customWidth="1"/>
    <col min="14" max="14" width="12" style="1769" hidden="1" customWidth="1"/>
    <col min="15" max="15" width="11.7109375" style="1769" customWidth="1"/>
    <col min="16" max="16" width="11.28515625" style="1769" customWidth="1"/>
    <col min="17" max="17" width="10.7109375" style="1769" customWidth="1"/>
    <col min="18" max="18" width="10.5703125" style="1769" customWidth="1"/>
    <col min="19" max="19" width="11" style="1769" customWidth="1"/>
    <col min="20" max="20" width="9.28515625" style="1769" customWidth="1"/>
    <col min="21" max="21" width="7.42578125" style="1769" customWidth="1"/>
    <col min="22" max="23" width="7" style="1769" customWidth="1"/>
    <col min="24" max="24" width="12.7109375" style="1769" customWidth="1"/>
    <col min="25" max="25" width="12" style="1769" customWidth="1"/>
    <col min="26" max="26" width="12.42578125" style="1769" customWidth="1"/>
    <col min="27" max="27" width="16" style="1769" customWidth="1"/>
    <col min="28" max="28" width="10" style="1769" customWidth="1"/>
    <col min="29" max="29" width="16.42578125" style="1769" customWidth="1"/>
    <col min="30" max="16384" width="9.140625" style="1769"/>
  </cols>
  <sheetData>
    <row r="1" spans="1:29" ht="15.75" customHeight="1">
      <c r="O1" s="330"/>
      <c r="P1" s="330"/>
      <c r="Q1" s="330"/>
      <c r="R1" s="330"/>
      <c r="S1" s="330"/>
      <c r="T1" s="329" t="s">
        <v>86</v>
      </c>
      <c r="U1" s="329"/>
      <c r="V1" s="329"/>
      <c r="W1" s="329"/>
      <c r="X1" s="331"/>
      <c r="Y1" s="332"/>
    </row>
    <row r="2" spans="1:29" ht="15" customHeight="1">
      <c r="D2" s="1056"/>
      <c r="E2" s="1056"/>
      <c r="F2" s="1056"/>
      <c r="G2" s="1056"/>
      <c r="H2" s="1056"/>
      <c r="I2" s="1056"/>
      <c r="J2" s="1056"/>
      <c r="K2" s="1056"/>
      <c r="L2" s="1056"/>
      <c r="M2" s="1056"/>
      <c r="N2" s="1056"/>
      <c r="O2" s="1056"/>
      <c r="P2" s="1056"/>
      <c r="Q2" s="1056"/>
      <c r="R2" s="1056"/>
      <c r="S2" s="1056"/>
      <c r="T2" s="1056"/>
      <c r="U2" s="1056"/>
      <c r="V2" s="1056"/>
      <c r="W2" s="1056"/>
      <c r="X2" s="1056"/>
      <c r="Y2" s="332"/>
    </row>
    <row r="3" spans="1:29" ht="9" customHeight="1">
      <c r="N3" s="333"/>
      <c r="O3" s="333"/>
      <c r="P3" s="333"/>
      <c r="Q3" s="333"/>
      <c r="R3" s="333"/>
      <c r="S3" s="333"/>
      <c r="T3" s="333"/>
      <c r="U3" s="333"/>
      <c r="V3" s="333"/>
      <c r="W3" s="333"/>
      <c r="X3" s="331"/>
      <c r="Y3" s="332"/>
    </row>
    <row r="4" spans="1:29" ht="40.5" customHeight="1" thickBot="1">
      <c r="A4" s="4181" t="s">
        <v>413</v>
      </c>
      <c r="B4" s="4181"/>
      <c r="C4" s="4181"/>
      <c r="D4" s="4181"/>
      <c r="E4" s="4181"/>
      <c r="F4" s="4181"/>
      <c r="G4" s="4181"/>
      <c r="H4" s="4181"/>
      <c r="I4" s="4181"/>
      <c r="J4" s="4181"/>
      <c r="K4" s="4181"/>
      <c r="L4" s="4181"/>
      <c r="M4" s="4181"/>
      <c r="N4" s="4181"/>
      <c r="O4" s="4181"/>
      <c r="P4" s="4181"/>
      <c r="Q4" s="4181"/>
      <c r="R4" s="4181"/>
      <c r="S4" s="4181"/>
      <c r="T4" s="4181"/>
      <c r="U4" s="4181"/>
      <c r="V4" s="4181"/>
      <c r="W4" s="4181"/>
      <c r="X4" s="4181"/>
      <c r="Y4" s="4181"/>
    </row>
    <row r="5" spans="1:29" ht="17.25" customHeight="1">
      <c r="A5" s="334"/>
      <c r="B5" s="335"/>
      <c r="C5" s="4182" t="s">
        <v>87</v>
      </c>
      <c r="D5" s="3928" t="s">
        <v>88</v>
      </c>
      <c r="E5" s="1690"/>
      <c r="F5" s="1691"/>
      <c r="G5" s="1691"/>
      <c r="H5" s="1691"/>
      <c r="I5" s="1691"/>
      <c r="J5" s="1691"/>
      <c r="K5" s="1691"/>
      <c r="L5" s="1691"/>
      <c r="M5" s="4195" t="s">
        <v>522</v>
      </c>
      <c r="N5" s="1691"/>
      <c r="O5" s="4197" t="s">
        <v>551</v>
      </c>
      <c r="P5" s="4199" t="s">
        <v>540</v>
      </c>
      <c r="Q5" s="4200"/>
      <c r="R5" s="4200"/>
      <c r="S5" s="4200"/>
      <c r="T5" s="4200"/>
      <c r="U5" s="4200"/>
      <c r="V5" s="4200"/>
      <c r="W5" s="4201"/>
      <c r="X5" s="4189" t="s">
        <v>494</v>
      </c>
      <c r="Y5" s="4183" t="s">
        <v>89</v>
      </c>
    </row>
    <row r="6" spans="1:29" ht="53.25" customHeight="1">
      <c r="A6" s="1750" t="s">
        <v>90</v>
      </c>
      <c r="B6" s="1765" t="s">
        <v>91</v>
      </c>
      <c r="C6" s="4084"/>
      <c r="D6" s="3941"/>
      <c r="E6" s="1177"/>
      <c r="F6" s="1178"/>
      <c r="G6" s="1178"/>
      <c r="H6" s="1178"/>
      <c r="I6" s="1178"/>
      <c r="J6" s="1178"/>
      <c r="K6" s="1178"/>
      <c r="L6" s="1178"/>
      <c r="M6" s="4196"/>
      <c r="N6" s="1178"/>
      <c r="O6" s="4198"/>
      <c r="P6" s="4202"/>
      <c r="Q6" s="4203"/>
      <c r="R6" s="4203"/>
      <c r="S6" s="4203"/>
      <c r="T6" s="4203"/>
      <c r="U6" s="4203"/>
      <c r="V6" s="4203"/>
      <c r="W6" s="4204"/>
      <c r="X6" s="4190"/>
      <c r="Y6" s="4184"/>
      <c r="Z6" s="1056"/>
    </row>
    <row r="7" spans="1:29" ht="41.25" customHeight="1" thickBot="1">
      <c r="A7" s="337"/>
      <c r="B7" s="338"/>
      <c r="C7" s="4076"/>
      <c r="D7" s="3942"/>
      <c r="E7" s="1767" t="s">
        <v>6</v>
      </c>
      <c r="F7" s="339" t="s">
        <v>7</v>
      </c>
      <c r="G7" s="339" t="s">
        <v>8</v>
      </c>
      <c r="H7" s="339" t="s">
        <v>9</v>
      </c>
      <c r="I7" s="1751" t="s">
        <v>10</v>
      </c>
      <c r="J7" s="1751" t="s">
        <v>11</v>
      </c>
      <c r="K7" s="1751">
        <v>2012</v>
      </c>
      <c r="L7" s="1751">
        <v>2013</v>
      </c>
      <c r="M7" s="1613" t="s">
        <v>489</v>
      </c>
      <c r="N7" s="1162" t="s">
        <v>14</v>
      </c>
      <c r="O7" s="1162" t="s">
        <v>15</v>
      </c>
      <c r="P7" s="1162" t="s">
        <v>16</v>
      </c>
      <c r="Q7" s="1162" t="s">
        <v>17</v>
      </c>
      <c r="R7" s="1162" t="s">
        <v>18</v>
      </c>
      <c r="S7" s="1162" t="s">
        <v>376</v>
      </c>
      <c r="T7" s="1162" t="s">
        <v>381</v>
      </c>
      <c r="U7" s="1162" t="s">
        <v>491</v>
      </c>
      <c r="V7" s="1162" t="s">
        <v>492</v>
      </c>
      <c r="W7" s="1162" t="s">
        <v>490</v>
      </c>
      <c r="X7" s="4191"/>
      <c r="Y7" s="4185"/>
      <c r="Z7" s="1056"/>
      <c r="AA7" s="1056"/>
    </row>
    <row r="8" spans="1:29" s="1227" customFormat="1" ht="12.75" customHeight="1" thickBot="1">
      <c r="A8" s="340">
        <v>1</v>
      </c>
      <c r="B8" s="341">
        <v>2</v>
      </c>
      <c r="C8" s="342">
        <v>3</v>
      </c>
      <c r="D8" s="343">
        <v>4</v>
      </c>
      <c r="E8" s="344"/>
      <c r="F8" s="345"/>
      <c r="G8" s="345"/>
      <c r="H8" s="345"/>
      <c r="I8" s="346"/>
      <c r="J8" s="346"/>
      <c r="K8" s="346"/>
      <c r="L8" s="347"/>
      <c r="M8" s="347">
        <v>5</v>
      </c>
      <c r="N8" s="347" t="s">
        <v>493</v>
      </c>
      <c r="O8" s="347">
        <v>6</v>
      </c>
      <c r="P8" s="347">
        <v>7</v>
      </c>
      <c r="Q8" s="347">
        <v>8</v>
      </c>
      <c r="R8" s="348">
        <v>9</v>
      </c>
      <c r="S8" s="348">
        <v>10</v>
      </c>
      <c r="T8" s="348">
        <v>11</v>
      </c>
      <c r="U8" s="348">
        <v>12</v>
      </c>
      <c r="V8" s="348">
        <v>13</v>
      </c>
      <c r="W8" s="348">
        <v>14</v>
      </c>
      <c r="X8" s="349">
        <v>15</v>
      </c>
      <c r="Y8" s="350">
        <v>16</v>
      </c>
      <c r="Z8" s="1226"/>
      <c r="AA8" s="1226"/>
    </row>
    <row r="9" spans="1:29" ht="14.25" customHeight="1">
      <c r="A9" s="4186" t="s">
        <v>84</v>
      </c>
      <c r="B9" s="990" t="s">
        <v>92</v>
      </c>
      <c r="C9" s="991"/>
      <c r="D9" s="992">
        <f>+D10+D11</f>
        <v>1002901141</v>
      </c>
      <c r="E9" s="992">
        <f t="shared" ref="E9:R9" si="0">+E10+E11</f>
        <v>628901</v>
      </c>
      <c r="F9" s="992">
        <f t="shared" si="0"/>
        <v>49287</v>
      </c>
      <c r="G9" s="992">
        <f t="shared" si="0"/>
        <v>159270</v>
      </c>
      <c r="H9" s="992">
        <f t="shared" si="0"/>
        <v>164824</v>
      </c>
      <c r="I9" s="992">
        <f t="shared" si="0"/>
        <v>2705441</v>
      </c>
      <c r="J9" s="992">
        <f t="shared" si="0"/>
        <v>37968458</v>
      </c>
      <c r="K9" s="992">
        <f t="shared" si="0"/>
        <v>71581650</v>
      </c>
      <c r="L9" s="992">
        <f t="shared" si="0"/>
        <v>132006586</v>
      </c>
      <c r="M9" s="992">
        <f t="shared" ref="M9" si="1">+M10+M11</f>
        <v>441869817</v>
      </c>
      <c r="N9" s="992">
        <f t="shared" si="0"/>
        <v>196978781</v>
      </c>
      <c r="O9" s="992">
        <f t="shared" si="0"/>
        <v>140402344</v>
      </c>
      <c r="P9" s="992">
        <f t="shared" si="0"/>
        <v>115991779</v>
      </c>
      <c r="Q9" s="992">
        <f t="shared" si="0"/>
        <v>185515732</v>
      </c>
      <c r="R9" s="992">
        <f t="shared" si="0"/>
        <v>119099884</v>
      </c>
      <c r="S9" s="992">
        <f t="shared" ref="S9:T9" si="2">+S10+S11</f>
        <v>21585</v>
      </c>
      <c r="T9" s="992">
        <f t="shared" si="2"/>
        <v>0</v>
      </c>
      <c r="U9" s="992">
        <f t="shared" ref="U9:W9" si="3">+U10+U11</f>
        <v>0</v>
      </c>
      <c r="V9" s="992">
        <f t="shared" si="3"/>
        <v>0</v>
      </c>
      <c r="W9" s="992">
        <f t="shared" si="3"/>
        <v>0</v>
      </c>
      <c r="X9" s="351">
        <f>+X10+X11</f>
        <v>420628980</v>
      </c>
      <c r="Y9" s="1933"/>
      <c r="Z9" s="1056">
        <f>+O9+P9</f>
        <v>256394123</v>
      </c>
    </row>
    <row r="10" spans="1:29" ht="14.25" customHeight="1">
      <c r="A10" s="4187"/>
      <c r="B10" s="993" t="s">
        <v>93</v>
      </c>
      <c r="C10" s="994"/>
      <c r="D10" s="995">
        <f>+D403+D421+D354</f>
        <v>661694</v>
      </c>
      <c r="E10" s="995">
        <f t="shared" ref="E10:W10" si="4">+E403+E421+E354</f>
        <v>0</v>
      </c>
      <c r="F10" s="995">
        <f t="shared" si="4"/>
        <v>0</v>
      </c>
      <c r="G10" s="995">
        <f t="shared" si="4"/>
        <v>0</v>
      </c>
      <c r="H10" s="995">
        <f t="shared" si="4"/>
        <v>0</v>
      </c>
      <c r="I10" s="995">
        <f t="shared" si="4"/>
        <v>0</v>
      </c>
      <c r="J10" s="995">
        <f t="shared" si="4"/>
        <v>0</v>
      </c>
      <c r="K10" s="995">
        <f t="shared" si="4"/>
        <v>0</v>
      </c>
      <c r="L10" s="995">
        <f t="shared" si="4"/>
        <v>0</v>
      </c>
      <c r="M10" s="995">
        <f t="shared" si="4"/>
        <v>22046</v>
      </c>
      <c r="N10" s="995">
        <f t="shared" si="4"/>
        <v>22046</v>
      </c>
      <c r="O10" s="995">
        <f t="shared" si="4"/>
        <v>187426</v>
      </c>
      <c r="P10" s="995">
        <f t="shared" si="4"/>
        <v>48546</v>
      </c>
      <c r="Q10" s="995">
        <f t="shared" si="4"/>
        <v>266706</v>
      </c>
      <c r="R10" s="995">
        <f t="shared" si="4"/>
        <v>115385</v>
      </c>
      <c r="S10" s="995">
        <f t="shared" si="4"/>
        <v>21585</v>
      </c>
      <c r="T10" s="995">
        <f t="shared" si="4"/>
        <v>0</v>
      </c>
      <c r="U10" s="995">
        <f t="shared" si="4"/>
        <v>0</v>
      </c>
      <c r="V10" s="995">
        <f t="shared" si="4"/>
        <v>0</v>
      </c>
      <c r="W10" s="995">
        <f t="shared" si="4"/>
        <v>0</v>
      </c>
      <c r="X10" s="1934">
        <f>SUM(P10:W10)</f>
        <v>452222</v>
      </c>
      <c r="Y10" s="1019"/>
    </row>
    <row r="11" spans="1:29" ht="14.25" customHeight="1" thickBot="1">
      <c r="A11" s="4187"/>
      <c r="B11" s="996" t="s">
        <v>21</v>
      </c>
      <c r="C11" s="997"/>
      <c r="D11" s="998">
        <f t="shared" ref="D11:W11" si="5">+D54+D224+D68+D82+D248+D98+D112+D264+D312+D276+D124+D133+D288+D145+D157+D168+D177+D189+D198+D239+D207+D335+D385+D300+D214+D345</f>
        <v>1002239447</v>
      </c>
      <c r="E11" s="998">
        <f t="shared" si="5"/>
        <v>628901</v>
      </c>
      <c r="F11" s="998">
        <f t="shared" si="5"/>
        <v>49287</v>
      </c>
      <c r="G11" s="998">
        <f t="shared" si="5"/>
        <v>159270</v>
      </c>
      <c r="H11" s="998">
        <f t="shared" si="5"/>
        <v>164824</v>
      </c>
      <c r="I11" s="998">
        <f t="shared" si="5"/>
        <v>2705441</v>
      </c>
      <c r="J11" s="998">
        <f t="shared" si="5"/>
        <v>37968458</v>
      </c>
      <c r="K11" s="998">
        <f t="shared" si="5"/>
        <v>71581650</v>
      </c>
      <c r="L11" s="998">
        <f t="shared" si="5"/>
        <v>132006586</v>
      </c>
      <c r="M11" s="998">
        <f>+M54+M224+M68+M82+M248+M98+M112+M264+M312+M276+M124+M133+M288+M145+M157+M168+M177+M189+M198+M239+M207+M335+M385+M300+M214+M345</f>
        <v>441847771</v>
      </c>
      <c r="N11" s="998">
        <f t="shared" si="5"/>
        <v>196956735</v>
      </c>
      <c r="O11" s="998">
        <f t="shared" si="5"/>
        <v>140214918</v>
      </c>
      <c r="P11" s="998">
        <f t="shared" si="5"/>
        <v>115943233</v>
      </c>
      <c r="Q11" s="998">
        <f t="shared" si="5"/>
        <v>185249026</v>
      </c>
      <c r="R11" s="998">
        <f t="shared" si="5"/>
        <v>118984499</v>
      </c>
      <c r="S11" s="998">
        <f t="shared" si="5"/>
        <v>0</v>
      </c>
      <c r="T11" s="998">
        <f t="shared" si="5"/>
        <v>0</v>
      </c>
      <c r="U11" s="998">
        <f t="shared" si="5"/>
        <v>0</v>
      </c>
      <c r="V11" s="998">
        <f t="shared" si="5"/>
        <v>0</v>
      </c>
      <c r="W11" s="998">
        <f t="shared" si="5"/>
        <v>0</v>
      </c>
      <c r="X11" s="744">
        <f>SUM(P11:T11)</f>
        <v>420176758</v>
      </c>
      <c r="Y11" s="1019"/>
    </row>
    <row r="12" spans="1:29" ht="13.5" customHeight="1">
      <c r="A12" s="4187"/>
      <c r="B12" s="355" t="s">
        <v>22</v>
      </c>
      <c r="C12" s="356"/>
      <c r="D12" s="357">
        <f>+D13+D19</f>
        <v>1002901141</v>
      </c>
      <c r="E12" s="357">
        <f t="shared" ref="E12:P12" si="6">+E13+E19</f>
        <v>628901</v>
      </c>
      <c r="F12" s="357">
        <f t="shared" si="6"/>
        <v>49287</v>
      </c>
      <c r="G12" s="357">
        <f t="shared" si="6"/>
        <v>159270</v>
      </c>
      <c r="H12" s="357">
        <f t="shared" si="6"/>
        <v>164824</v>
      </c>
      <c r="I12" s="357">
        <f t="shared" si="6"/>
        <v>2705441</v>
      </c>
      <c r="J12" s="357">
        <f t="shared" si="6"/>
        <v>37968458</v>
      </c>
      <c r="K12" s="357">
        <f t="shared" si="6"/>
        <v>71581650</v>
      </c>
      <c r="L12" s="357">
        <f t="shared" si="6"/>
        <v>132006586</v>
      </c>
      <c r="M12" s="357">
        <f>+M13+M19</f>
        <v>441869817</v>
      </c>
      <c r="N12" s="357">
        <f t="shared" si="6"/>
        <v>196978781</v>
      </c>
      <c r="O12" s="357">
        <f>+O13+O19</f>
        <v>140402344</v>
      </c>
      <c r="P12" s="357">
        <f t="shared" si="6"/>
        <v>115991779</v>
      </c>
      <c r="Q12" s="357">
        <f>+Q13+Q19</f>
        <v>185515732</v>
      </c>
      <c r="R12" s="357">
        <f>+R13+R19</f>
        <v>119099884</v>
      </c>
      <c r="S12" s="357">
        <f t="shared" ref="S12:T12" si="7">+S13+S19</f>
        <v>21585</v>
      </c>
      <c r="T12" s="357">
        <f t="shared" si="7"/>
        <v>0</v>
      </c>
      <c r="U12" s="357">
        <f t="shared" ref="U12:W12" si="8">+U13+U19</f>
        <v>0</v>
      </c>
      <c r="V12" s="357">
        <f t="shared" si="8"/>
        <v>0</v>
      </c>
      <c r="W12" s="357">
        <f t="shared" si="8"/>
        <v>0</v>
      </c>
      <c r="X12" s="358">
        <f>+X13+X19</f>
        <v>420628980</v>
      </c>
      <c r="Y12" s="353"/>
      <c r="Z12" s="947"/>
      <c r="AA12" s="1056"/>
      <c r="AC12" s="1056"/>
    </row>
    <row r="13" spans="1:29" s="948" customFormat="1" ht="13.5" customHeight="1">
      <c r="A13" s="4187"/>
      <c r="B13" s="359" t="s">
        <v>23</v>
      </c>
      <c r="C13" s="360"/>
      <c r="D13" s="361">
        <f>+D14+D15+D16+D17+D18</f>
        <v>186213533</v>
      </c>
      <c r="E13" s="361">
        <f t="shared" ref="E13:P13" si="9">+E14+E15+E16+E17+E18</f>
        <v>372014</v>
      </c>
      <c r="F13" s="361">
        <f t="shared" si="9"/>
        <v>49287</v>
      </c>
      <c r="G13" s="361">
        <f t="shared" si="9"/>
        <v>110540</v>
      </c>
      <c r="H13" s="361">
        <f t="shared" si="9"/>
        <v>156078</v>
      </c>
      <c r="I13" s="361">
        <f t="shared" si="9"/>
        <v>1383656</v>
      </c>
      <c r="J13" s="361">
        <f t="shared" si="9"/>
        <v>23993255</v>
      </c>
      <c r="K13" s="361">
        <f t="shared" si="9"/>
        <v>16200338</v>
      </c>
      <c r="L13" s="361">
        <f t="shared" si="9"/>
        <v>16882250</v>
      </c>
      <c r="M13" s="361">
        <f t="shared" ref="M13" si="10">+M14+M15+M16+M17+M18</f>
        <v>88721942</v>
      </c>
      <c r="N13" s="361">
        <f t="shared" si="9"/>
        <v>29890429</v>
      </c>
      <c r="O13" s="361">
        <f>+O14+O15+O16+O17+O18</f>
        <v>16601646</v>
      </c>
      <c r="P13" s="361">
        <f t="shared" si="9"/>
        <v>29886541</v>
      </c>
      <c r="Q13" s="361">
        <f>+Q14+Q15+Q16+Q17+Q18</f>
        <v>28898360</v>
      </c>
      <c r="R13" s="361">
        <f>+R14+R15+R16+R17+R18</f>
        <v>22101807</v>
      </c>
      <c r="S13" s="361">
        <f t="shared" ref="S13:T13" si="11">+S14+S15+S16+S17+S18</f>
        <v>3237</v>
      </c>
      <c r="T13" s="361">
        <f t="shared" si="11"/>
        <v>0</v>
      </c>
      <c r="U13" s="361">
        <f t="shared" ref="U13:W13" si="12">+U14+U15+U16+U17+U18</f>
        <v>0</v>
      </c>
      <c r="V13" s="361">
        <f t="shared" si="12"/>
        <v>0</v>
      </c>
      <c r="W13" s="361">
        <f t="shared" si="12"/>
        <v>0</v>
      </c>
      <c r="X13" s="362">
        <f>SUM(X14:X18)</f>
        <v>80889945</v>
      </c>
      <c r="Y13" s="363"/>
      <c r="Z13" s="1228"/>
      <c r="AA13" s="947"/>
    </row>
    <row r="14" spans="1:29">
      <c r="A14" s="4187"/>
      <c r="B14" s="364" t="s">
        <v>24</v>
      </c>
      <c r="C14" s="365"/>
      <c r="D14" s="366">
        <f>+D38+D328+D371+D414</f>
        <v>68691989</v>
      </c>
      <c r="E14" s="366">
        <f>+E38+E328+E371+E414</f>
        <v>165264</v>
      </c>
      <c r="F14" s="366">
        <f>+F38+F328+F371</f>
        <v>49287</v>
      </c>
      <c r="G14" s="366">
        <f>+G38+G328+G371</f>
        <v>75979</v>
      </c>
      <c r="H14" s="366">
        <f>+H38+H328+H371</f>
        <v>0</v>
      </c>
      <c r="I14" s="366">
        <f>+I38+I328+I371+I414</f>
        <v>886698</v>
      </c>
      <c r="J14" s="366">
        <f>+J38+J328+J371</f>
        <v>1547182</v>
      </c>
      <c r="K14" s="366">
        <f>+K38+K328+K371</f>
        <v>5709072</v>
      </c>
      <c r="L14" s="366">
        <f>+L38+L328+L371</f>
        <v>4480344</v>
      </c>
      <c r="M14" s="366">
        <f>+M38+M328+M371</f>
        <v>19204820</v>
      </c>
      <c r="N14" s="366">
        <f t="shared" ref="N14:W14" si="13">+N38+N328+N371+N414</f>
        <v>6416260</v>
      </c>
      <c r="O14" s="366">
        <f t="shared" si="13"/>
        <v>2678615</v>
      </c>
      <c r="P14" s="366">
        <f t="shared" si="13"/>
        <v>25171291</v>
      </c>
      <c r="Q14" s="366">
        <f t="shared" si="13"/>
        <v>7951504</v>
      </c>
      <c r="R14" s="366">
        <f t="shared" si="13"/>
        <v>13682522</v>
      </c>
      <c r="S14" s="366">
        <f t="shared" si="13"/>
        <v>3237</v>
      </c>
      <c r="T14" s="366">
        <f t="shared" si="13"/>
        <v>0</v>
      </c>
      <c r="U14" s="366">
        <f t="shared" si="13"/>
        <v>0</v>
      </c>
      <c r="V14" s="366">
        <f t="shared" si="13"/>
        <v>0</v>
      </c>
      <c r="W14" s="366">
        <f t="shared" si="13"/>
        <v>0</v>
      </c>
      <c r="X14" s="367">
        <f>SUM(P14:T14)</f>
        <v>46808554</v>
      </c>
      <c r="Y14" s="353"/>
      <c r="Z14" s="1056"/>
      <c r="AA14" s="1056"/>
      <c r="AC14" s="1056"/>
    </row>
    <row r="15" spans="1:29" ht="12" customHeight="1">
      <c r="A15" s="4187"/>
      <c r="B15" s="368" t="s">
        <v>94</v>
      </c>
      <c r="C15" s="369"/>
      <c r="D15" s="366">
        <f>+D372</f>
        <v>14575000</v>
      </c>
      <c r="E15" s="366">
        <f t="shared" ref="E15:P15" si="14">+E372</f>
        <v>0</v>
      </c>
      <c r="F15" s="366">
        <f t="shared" si="14"/>
        <v>0</v>
      </c>
      <c r="G15" s="366">
        <f t="shared" si="14"/>
        <v>0</v>
      </c>
      <c r="H15" s="366">
        <f t="shared" si="14"/>
        <v>0</v>
      </c>
      <c r="I15" s="366">
        <f t="shared" si="14"/>
        <v>0</v>
      </c>
      <c r="J15" s="366">
        <f t="shared" si="14"/>
        <v>0</v>
      </c>
      <c r="K15" s="366">
        <f t="shared" si="14"/>
        <v>0</v>
      </c>
      <c r="L15" s="366">
        <f t="shared" si="14"/>
        <v>0</v>
      </c>
      <c r="M15" s="366">
        <f t="shared" ref="M15" si="15">+M372</f>
        <v>7293750</v>
      </c>
      <c r="N15" s="366">
        <f t="shared" si="14"/>
        <v>7293750</v>
      </c>
      <c r="O15" s="366">
        <f>+O372</f>
        <v>7281250</v>
      </c>
      <c r="P15" s="366">
        <f t="shared" si="14"/>
        <v>0</v>
      </c>
      <c r="Q15" s="366">
        <f>+Q372</f>
        <v>0</v>
      </c>
      <c r="R15" s="366">
        <f>+R372</f>
        <v>0</v>
      </c>
      <c r="S15" s="366">
        <f t="shared" ref="S15:T15" si="16">+S372</f>
        <v>0</v>
      </c>
      <c r="T15" s="366">
        <f t="shared" si="16"/>
        <v>0</v>
      </c>
      <c r="U15" s="366">
        <f t="shared" ref="U15:W15" si="17">+U372</f>
        <v>0</v>
      </c>
      <c r="V15" s="366">
        <f t="shared" si="17"/>
        <v>0</v>
      </c>
      <c r="W15" s="366">
        <f t="shared" si="17"/>
        <v>0</v>
      </c>
      <c r="X15" s="367">
        <f>SUM(P15:T15)</f>
        <v>0</v>
      </c>
      <c r="Y15" s="370"/>
      <c r="Z15" s="1056"/>
    </row>
    <row r="16" spans="1:29" ht="13.5" customHeight="1">
      <c r="A16" s="4187"/>
      <c r="B16" s="364" t="s">
        <v>27</v>
      </c>
      <c r="C16" s="365"/>
      <c r="D16" s="366">
        <f>+D39</f>
        <v>8514464</v>
      </c>
      <c r="E16" s="366">
        <f t="shared" ref="E16:P16" si="18">+E39</f>
        <v>0</v>
      </c>
      <c r="F16" s="366">
        <f t="shared" si="18"/>
        <v>0</v>
      </c>
      <c r="G16" s="366">
        <f t="shared" si="18"/>
        <v>0</v>
      </c>
      <c r="H16" s="366">
        <f t="shared" si="18"/>
        <v>0</v>
      </c>
      <c r="I16" s="366">
        <f t="shared" si="18"/>
        <v>0</v>
      </c>
      <c r="J16" s="366">
        <f t="shared" si="18"/>
        <v>2000000</v>
      </c>
      <c r="K16" s="366">
        <f t="shared" si="18"/>
        <v>5514464</v>
      </c>
      <c r="L16" s="366">
        <f t="shared" si="18"/>
        <v>0</v>
      </c>
      <c r="M16" s="366">
        <f t="shared" ref="M16" si="19">+M39</f>
        <v>8514464</v>
      </c>
      <c r="N16" s="366">
        <f t="shared" si="18"/>
        <v>1000000</v>
      </c>
      <c r="O16" s="366">
        <f t="shared" si="18"/>
        <v>0</v>
      </c>
      <c r="P16" s="366">
        <f t="shared" si="18"/>
        <v>0</v>
      </c>
      <c r="Q16" s="366">
        <f>+Q39</f>
        <v>0</v>
      </c>
      <c r="R16" s="366">
        <f>+R39</f>
        <v>0</v>
      </c>
      <c r="S16" s="366">
        <f t="shared" ref="S16:T16" si="20">+S39</f>
        <v>0</v>
      </c>
      <c r="T16" s="366">
        <f t="shared" si="20"/>
        <v>0</v>
      </c>
      <c r="U16" s="366">
        <f t="shared" ref="U16:W16" si="21">+U39</f>
        <v>0</v>
      </c>
      <c r="V16" s="366">
        <f t="shared" si="21"/>
        <v>0</v>
      </c>
      <c r="W16" s="366">
        <f t="shared" si="21"/>
        <v>0</v>
      </c>
      <c r="X16" s="367">
        <f>SUM(P16:T16)</f>
        <v>0</v>
      </c>
      <c r="Y16" s="370"/>
      <c r="Z16" s="1056"/>
    </row>
    <row r="17" spans="1:29" ht="13.5" customHeight="1">
      <c r="A17" s="4187"/>
      <c r="B17" s="364" t="s">
        <v>68</v>
      </c>
      <c r="C17" s="365"/>
      <c r="D17" s="366">
        <f>+D373+D41</f>
        <v>64746391</v>
      </c>
      <c r="E17" s="366">
        <f t="shared" ref="E17:W17" si="22">+E373+E41</f>
        <v>0</v>
      </c>
      <c r="F17" s="366">
        <f t="shared" si="22"/>
        <v>0</v>
      </c>
      <c r="G17" s="366">
        <f t="shared" si="22"/>
        <v>0</v>
      </c>
      <c r="H17" s="366">
        <f t="shared" si="22"/>
        <v>0</v>
      </c>
      <c r="I17" s="366">
        <f t="shared" si="22"/>
        <v>0</v>
      </c>
      <c r="J17" s="366">
        <f t="shared" si="22"/>
        <v>0</v>
      </c>
      <c r="K17" s="366">
        <f t="shared" si="22"/>
        <v>0</v>
      </c>
      <c r="L17" s="366">
        <f t="shared" si="22"/>
        <v>10440000</v>
      </c>
      <c r="M17" s="366">
        <f>+M373+M41</f>
        <v>24026250</v>
      </c>
      <c r="N17" s="366">
        <f t="shared" si="22"/>
        <v>13586250</v>
      </c>
      <c r="O17" s="366">
        <f t="shared" si="22"/>
        <v>6638750</v>
      </c>
      <c r="P17" s="366">
        <f t="shared" si="22"/>
        <v>4715250</v>
      </c>
      <c r="Q17" s="366">
        <f t="shared" si="22"/>
        <v>20946856</v>
      </c>
      <c r="R17" s="366">
        <f t="shared" si="22"/>
        <v>8419285</v>
      </c>
      <c r="S17" s="366">
        <f t="shared" si="22"/>
        <v>0</v>
      </c>
      <c r="T17" s="366">
        <f t="shared" si="22"/>
        <v>0</v>
      </c>
      <c r="U17" s="366">
        <f t="shared" si="22"/>
        <v>0</v>
      </c>
      <c r="V17" s="366">
        <f t="shared" si="22"/>
        <v>0</v>
      </c>
      <c r="W17" s="366">
        <f t="shared" si="22"/>
        <v>0</v>
      </c>
      <c r="X17" s="367">
        <f>SUM(P17:W17)</f>
        <v>34081391</v>
      </c>
      <c r="Y17" s="370"/>
      <c r="Z17" s="1056"/>
    </row>
    <row r="18" spans="1:29" ht="12" customHeight="1">
      <c r="A18" s="4187"/>
      <c r="B18" s="364" t="s">
        <v>29</v>
      </c>
      <c r="C18" s="365"/>
      <c r="D18" s="366">
        <f>+D40</f>
        <v>29685689</v>
      </c>
      <c r="E18" s="366">
        <f t="shared" ref="E18:P18" si="23">+E40</f>
        <v>206750</v>
      </c>
      <c r="F18" s="366">
        <f t="shared" si="23"/>
        <v>0</v>
      </c>
      <c r="G18" s="366">
        <f t="shared" si="23"/>
        <v>34561</v>
      </c>
      <c r="H18" s="366">
        <f t="shared" si="23"/>
        <v>156078</v>
      </c>
      <c r="I18" s="366">
        <f t="shared" si="23"/>
        <v>496958</v>
      </c>
      <c r="J18" s="366">
        <f t="shared" si="23"/>
        <v>20446073</v>
      </c>
      <c r="K18" s="366">
        <f t="shared" si="23"/>
        <v>4976802</v>
      </c>
      <c r="L18" s="366">
        <f t="shared" si="23"/>
        <v>1961906</v>
      </c>
      <c r="M18" s="366">
        <f t="shared" ref="M18" si="24">+M40</f>
        <v>29682658</v>
      </c>
      <c r="N18" s="366">
        <f t="shared" si="23"/>
        <v>1594169</v>
      </c>
      <c r="O18" s="366">
        <f t="shared" si="23"/>
        <v>3031</v>
      </c>
      <c r="P18" s="366">
        <f t="shared" si="23"/>
        <v>0</v>
      </c>
      <c r="Q18" s="366">
        <f>+Q40</f>
        <v>0</v>
      </c>
      <c r="R18" s="366">
        <f>+R40</f>
        <v>0</v>
      </c>
      <c r="S18" s="366">
        <f t="shared" ref="S18:T18" si="25">+S40</f>
        <v>0</v>
      </c>
      <c r="T18" s="366">
        <f t="shared" si="25"/>
        <v>0</v>
      </c>
      <c r="U18" s="366">
        <f t="shared" ref="U18:W18" si="26">+U40</f>
        <v>0</v>
      </c>
      <c r="V18" s="366">
        <f t="shared" si="26"/>
        <v>0</v>
      </c>
      <c r="W18" s="366">
        <f t="shared" si="26"/>
        <v>0</v>
      </c>
      <c r="X18" s="367">
        <f>SUM(P18:T18)</f>
        <v>0</v>
      </c>
      <c r="Y18" s="370"/>
      <c r="Z18" s="1056"/>
    </row>
    <row r="19" spans="1:29" s="948" customFormat="1" ht="13.5" customHeight="1">
      <c r="A19" s="4187"/>
      <c r="B19" s="359" t="s">
        <v>30</v>
      </c>
      <c r="C19" s="371"/>
      <c r="D19" s="361">
        <f>+D20+D21+D22</f>
        <v>816687608</v>
      </c>
      <c r="E19" s="361">
        <f t="shared" ref="E19:T19" si="27">+E20+E21+E22</f>
        <v>256887</v>
      </c>
      <c r="F19" s="361">
        <f t="shared" si="27"/>
        <v>0</v>
      </c>
      <c r="G19" s="361">
        <f t="shared" si="27"/>
        <v>48730</v>
      </c>
      <c r="H19" s="361">
        <f t="shared" si="27"/>
        <v>8746</v>
      </c>
      <c r="I19" s="361">
        <f t="shared" si="27"/>
        <v>1321785</v>
      </c>
      <c r="J19" s="361">
        <f t="shared" si="27"/>
        <v>13975203</v>
      </c>
      <c r="K19" s="361">
        <f t="shared" si="27"/>
        <v>55381312</v>
      </c>
      <c r="L19" s="361">
        <f t="shared" si="27"/>
        <v>115124336</v>
      </c>
      <c r="M19" s="361">
        <f t="shared" si="27"/>
        <v>353147875</v>
      </c>
      <c r="N19" s="361">
        <f t="shared" si="27"/>
        <v>167088352</v>
      </c>
      <c r="O19" s="361">
        <f t="shared" si="27"/>
        <v>123800698</v>
      </c>
      <c r="P19" s="361">
        <f t="shared" si="27"/>
        <v>86105238</v>
      </c>
      <c r="Q19" s="361">
        <f t="shared" si="27"/>
        <v>156617372</v>
      </c>
      <c r="R19" s="361">
        <f t="shared" si="27"/>
        <v>96998077</v>
      </c>
      <c r="S19" s="361">
        <f t="shared" si="27"/>
        <v>18348</v>
      </c>
      <c r="T19" s="361">
        <f t="shared" si="27"/>
        <v>0</v>
      </c>
      <c r="U19" s="361">
        <f t="shared" ref="U19:W19" si="28">+U20+U21+U22</f>
        <v>0</v>
      </c>
      <c r="V19" s="361">
        <f t="shared" si="28"/>
        <v>0</v>
      </c>
      <c r="W19" s="361">
        <f t="shared" si="28"/>
        <v>0</v>
      </c>
      <c r="X19" s="372">
        <f>+X20+X21+X22</f>
        <v>339739035</v>
      </c>
      <c r="Y19" s="373"/>
      <c r="Z19" s="1228"/>
      <c r="AA19" s="947"/>
    </row>
    <row r="20" spans="1:29" ht="13.5" customHeight="1">
      <c r="A20" s="4187"/>
      <c r="B20" s="378" t="s">
        <v>32</v>
      </c>
      <c r="C20" s="379"/>
      <c r="D20" s="366">
        <f t="shared" ref="D20:W20" si="29">+D330+D416</f>
        <v>456157</v>
      </c>
      <c r="E20" s="366">
        <f t="shared" si="29"/>
        <v>0</v>
      </c>
      <c r="F20" s="366">
        <f t="shared" si="29"/>
        <v>0</v>
      </c>
      <c r="G20" s="366">
        <f t="shared" si="29"/>
        <v>0</v>
      </c>
      <c r="H20" s="366">
        <f t="shared" si="29"/>
        <v>0</v>
      </c>
      <c r="I20" s="366">
        <f t="shared" si="29"/>
        <v>0</v>
      </c>
      <c r="J20" s="366">
        <f t="shared" si="29"/>
        <v>0</v>
      </c>
      <c r="K20" s="366">
        <f t="shared" si="29"/>
        <v>0</v>
      </c>
      <c r="L20" s="366">
        <f t="shared" si="29"/>
        <v>0</v>
      </c>
      <c r="M20" s="366">
        <f t="shared" si="29"/>
        <v>15720</v>
      </c>
      <c r="N20" s="366">
        <f t="shared" si="29"/>
        <v>15720</v>
      </c>
      <c r="O20" s="366">
        <f t="shared" si="29"/>
        <v>56048</v>
      </c>
      <c r="P20" s="366">
        <f t="shared" si="29"/>
        <v>41264</v>
      </c>
      <c r="Q20" s="366">
        <f t="shared" si="29"/>
        <v>226700</v>
      </c>
      <c r="R20" s="366">
        <f t="shared" si="29"/>
        <v>98077</v>
      </c>
      <c r="S20" s="366">
        <f>+S330+S416</f>
        <v>18348</v>
      </c>
      <c r="T20" s="366">
        <f t="shared" si="29"/>
        <v>0</v>
      </c>
      <c r="U20" s="366">
        <f t="shared" si="29"/>
        <v>0</v>
      </c>
      <c r="V20" s="366">
        <f t="shared" si="29"/>
        <v>0</v>
      </c>
      <c r="W20" s="366">
        <f t="shared" si="29"/>
        <v>0</v>
      </c>
      <c r="X20" s="367">
        <f>SUM(P20:T20)</f>
        <v>384389</v>
      </c>
      <c r="Y20" s="370"/>
      <c r="Z20" s="1056"/>
    </row>
    <row r="21" spans="1:29" ht="13.5" customHeight="1">
      <c r="A21" s="4187"/>
      <c r="B21" s="380" t="s">
        <v>33</v>
      </c>
      <c r="C21" s="379"/>
      <c r="D21" s="366">
        <f t="shared" ref="D21:W21" si="30">+D43+D375</f>
        <v>816231451</v>
      </c>
      <c r="E21" s="366">
        <f t="shared" si="30"/>
        <v>256887</v>
      </c>
      <c r="F21" s="366">
        <f t="shared" si="30"/>
        <v>0</v>
      </c>
      <c r="G21" s="366">
        <f t="shared" si="30"/>
        <v>48730</v>
      </c>
      <c r="H21" s="366">
        <f t="shared" si="30"/>
        <v>8746</v>
      </c>
      <c r="I21" s="366">
        <f t="shared" si="30"/>
        <v>1321785</v>
      </c>
      <c r="J21" s="366">
        <f t="shared" si="30"/>
        <v>13975203</v>
      </c>
      <c r="K21" s="366">
        <f t="shared" si="30"/>
        <v>55381312</v>
      </c>
      <c r="L21" s="366">
        <f t="shared" si="30"/>
        <v>115124336</v>
      </c>
      <c r="M21" s="366">
        <f t="shared" si="30"/>
        <v>353132155</v>
      </c>
      <c r="N21" s="366">
        <f t="shared" si="30"/>
        <v>167072632</v>
      </c>
      <c r="O21" s="366">
        <f t="shared" si="30"/>
        <v>123744650</v>
      </c>
      <c r="P21" s="366">
        <f t="shared" si="30"/>
        <v>86063974</v>
      </c>
      <c r="Q21" s="366">
        <f t="shared" si="30"/>
        <v>156390672</v>
      </c>
      <c r="R21" s="366">
        <f t="shared" si="30"/>
        <v>96900000</v>
      </c>
      <c r="S21" s="366">
        <f t="shared" si="30"/>
        <v>0</v>
      </c>
      <c r="T21" s="366">
        <f t="shared" si="30"/>
        <v>0</v>
      </c>
      <c r="U21" s="366">
        <f t="shared" si="30"/>
        <v>0</v>
      </c>
      <c r="V21" s="366">
        <f t="shared" si="30"/>
        <v>0</v>
      </c>
      <c r="W21" s="366">
        <f t="shared" si="30"/>
        <v>0</v>
      </c>
      <c r="X21" s="367">
        <f>SUM(P21:T21)</f>
        <v>339354646</v>
      </c>
      <c r="Y21" s="353"/>
      <c r="Z21" s="1056"/>
      <c r="AA21" s="1056">
        <f>+N21+O21+P21+Q21</f>
        <v>533271928</v>
      </c>
    </row>
    <row r="22" spans="1:29" hidden="1">
      <c r="A22" s="4187"/>
      <c r="B22" s="380" t="s">
        <v>95</v>
      </c>
      <c r="C22" s="379"/>
      <c r="D22" s="366">
        <f>+D376</f>
        <v>0</v>
      </c>
      <c r="E22" s="366">
        <f t="shared" ref="E22:P22" si="31">+E376</f>
        <v>0</v>
      </c>
      <c r="F22" s="366">
        <f t="shared" si="31"/>
        <v>0</v>
      </c>
      <c r="G22" s="366">
        <f t="shared" si="31"/>
        <v>0</v>
      </c>
      <c r="H22" s="366">
        <f t="shared" si="31"/>
        <v>0</v>
      </c>
      <c r="I22" s="366">
        <f t="shared" si="31"/>
        <v>0</v>
      </c>
      <c r="J22" s="366">
        <f t="shared" si="31"/>
        <v>0</v>
      </c>
      <c r="K22" s="366">
        <f t="shared" si="31"/>
        <v>0</v>
      </c>
      <c r="L22" s="366">
        <f t="shared" si="31"/>
        <v>0</v>
      </c>
      <c r="M22" s="366">
        <f t="shared" ref="M22" si="32">+M376</f>
        <v>0</v>
      </c>
      <c r="N22" s="366">
        <f t="shared" si="31"/>
        <v>0</v>
      </c>
      <c r="O22" s="366">
        <f t="shared" si="31"/>
        <v>0</v>
      </c>
      <c r="P22" s="366">
        <f t="shared" si="31"/>
        <v>0</v>
      </c>
      <c r="Q22" s="366">
        <f>+Q376</f>
        <v>0</v>
      </c>
      <c r="R22" s="366">
        <f>+R376</f>
        <v>0</v>
      </c>
      <c r="S22" s="366">
        <f t="shared" ref="S22:T22" si="33">+S376</f>
        <v>0</v>
      </c>
      <c r="T22" s="366">
        <f t="shared" si="33"/>
        <v>0</v>
      </c>
      <c r="U22" s="366">
        <f t="shared" ref="U22:W22" si="34">+U376</f>
        <v>0</v>
      </c>
      <c r="V22" s="366">
        <f t="shared" si="34"/>
        <v>0</v>
      </c>
      <c r="W22" s="366">
        <f t="shared" si="34"/>
        <v>0</v>
      </c>
      <c r="X22" s="367">
        <f>SUM(P22:T22)</f>
        <v>0</v>
      </c>
      <c r="Y22" s="353"/>
      <c r="Z22" s="1056"/>
      <c r="AA22" s="1056"/>
    </row>
    <row r="23" spans="1:29" ht="13.5" customHeight="1">
      <c r="A23" s="4187"/>
      <c r="B23" s="381" t="s">
        <v>34</v>
      </c>
      <c r="C23" s="382"/>
      <c r="D23" s="383">
        <f>+D24+D30</f>
        <v>942700633</v>
      </c>
      <c r="E23" s="383">
        <f t="shared" ref="E23:P23" si="35">+E24+E30</f>
        <v>0</v>
      </c>
      <c r="F23" s="383">
        <f t="shared" si="35"/>
        <v>0</v>
      </c>
      <c r="G23" s="383">
        <f t="shared" si="35"/>
        <v>0</v>
      </c>
      <c r="H23" s="383">
        <f t="shared" si="35"/>
        <v>0</v>
      </c>
      <c r="I23" s="383">
        <f t="shared" si="35"/>
        <v>0</v>
      </c>
      <c r="J23" s="383">
        <f>+J24+J30</f>
        <v>28058724</v>
      </c>
      <c r="K23" s="383">
        <f t="shared" si="35"/>
        <v>66764876</v>
      </c>
      <c r="L23" s="383">
        <f t="shared" si="35"/>
        <v>106396943</v>
      </c>
      <c r="M23" s="383">
        <f t="shared" ref="M23" si="36">+M24+M30</f>
        <v>389712680</v>
      </c>
      <c r="N23" s="383">
        <f t="shared" si="35"/>
        <v>188492137</v>
      </c>
      <c r="O23" s="383">
        <f t="shared" si="35"/>
        <v>154722754</v>
      </c>
      <c r="P23" s="383">
        <f t="shared" si="35"/>
        <v>118251478</v>
      </c>
      <c r="Q23" s="383">
        <f>+Q24+Q30</f>
        <v>174330679</v>
      </c>
      <c r="R23" s="383">
        <f>+R24+R30</f>
        <v>105453267</v>
      </c>
      <c r="S23" s="383">
        <f t="shared" ref="S23:T23" si="37">+S24+S30</f>
        <v>229775</v>
      </c>
      <c r="T23" s="383">
        <f t="shared" si="37"/>
        <v>0</v>
      </c>
      <c r="U23" s="383">
        <f t="shared" ref="U23:W23" si="38">+U24+U30</f>
        <v>0</v>
      </c>
      <c r="V23" s="383">
        <f t="shared" si="38"/>
        <v>0</v>
      </c>
      <c r="W23" s="383">
        <f t="shared" si="38"/>
        <v>0</v>
      </c>
      <c r="X23" s="4192" t="s">
        <v>35</v>
      </c>
      <c r="Y23" s="353"/>
      <c r="AC23" s="947"/>
    </row>
    <row r="24" spans="1:29" ht="12" customHeight="1">
      <c r="A24" s="4187"/>
      <c r="B24" s="384" t="s">
        <v>36</v>
      </c>
      <c r="C24" s="385"/>
      <c r="D24" s="386">
        <f>+D25+D26+D27+D28+D29</f>
        <v>118363025</v>
      </c>
      <c r="E24" s="386">
        <f t="shared" ref="E24:P24" si="39">+E25+E26+E27+E28+E29</f>
        <v>0</v>
      </c>
      <c r="F24" s="386">
        <f t="shared" si="39"/>
        <v>0</v>
      </c>
      <c r="G24" s="386">
        <f t="shared" si="39"/>
        <v>0</v>
      </c>
      <c r="H24" s="386">
        <f t="shared" si="39"/>
        <v>0</v>
      </c>
      <c r="I24" s="386">
        <f t="shared" si="39"/>
        <v>0</v>
      </c>
      <c r="J24" s="386">
        <f t="shared" si="39"/>
        <v>21673762</v>
      </c>
      <c r="K24" s="386">
        <f t="shared" si="39"/>
        <v>18781068</v>
      </c>
      <c r="L24" s="386">
        <f>+L25+L26+L27+L28+L29</f>
        <v>12172766</v>
      </c>
      <c r="M24" s="386">
        <f>+M25+M26+M27+M28+M29</f>
        <v>78869926</v>
      </c>
      <c r="N24" s="386">
        <f t="shared" si="39"/>
        <v>26242330</v>
      </c>
      <c r="O24" s="386">
        <f t="shared" si="39"/>
        <v>14234333</v>
      </c>
      <c r="P24" s="386">
        <f t="shared" si="39"/>
        <v>8420196</v>
      </c>
      <c r="Q24" s="386">
        <f>+Q25+Q26+Q27+Q28+Q29</f>
        <v>8419285</v>
      </c>
      <c r="R24" s="386">
        <f>+R25+R26+R27+R28+R29</f>
        <v>8419285</v>
      </c>
      <c r="S24" s="386">
        <f t="shared" ref="S24:T24" si="40">+S25+S26+S27+S28+S29</f>
        <v>0</v>
      </c>
      <c r="T24" s="386">
        <f t="shared" si="40"/>
        <v>0</v>
      </c>
      <c r="U24" s="386">
        <f t="shared" ref="U24:W24" si="41">+U25+U26+U27+U28+U29</f>
        <v>0</v>
      </c>
      <c r="V24" s="386">
        <f t="shared" si="41"/>
        <v>0</v>
      </c>
      <c r="W24" s="386">
        <f t="shared" si="41"/>
        <v>0</v>
      </c>
      <c r="X24" s="4193"/>
      <c r="Y24" s="353"/>
    </row>
    <row r="25" spans="1:29">
      <c r="A25" s="4187"/>
      <c r="B25" s="368" t="s">
        <v>94</v>
      </c>
      <c r="C25" s="387"/>
      <c r="D25" s="376">
        <f>+D379</f>
        <v>14575000</v>
      </c>
      <c r="E25" s="376">
        <f t="shared" ref="E25:P25" si="42">+E379</f>
        <v>0</v>
      </c>
      <c r="F25" s="376">
        <f t="shared" si="42"/>
        <v>0</v>
      </c>
      <c r="G25" s="376">
        <f t="shared" si="42"/>
        <v>0</v>
      </c>
      <c r="H25" s="376">
        <f t="shared" si="42"/>
        <v>0</v>
      </c>
      <c r="I25" s="376">
        <f t="shared" si="42"/>
        <v>0</v>
      </c>
      <c r="J25" s="376">
        <f t="shared" si="42"/>
        <v>0</v>
      </c>
      <c r="K25" s="376">
        <f t="shared" si="42"/>
        <v>0</v>
      </c>
      <c r="L25" s="376">
        <f t="shared" si="42"/>
        <v>0</v>
      </c>
      <c r="M25" s="376">
        <f t="shared" ref="M25" si="43">+M379</f>
        <v>7293750</v>
      </c>
      <c r="N25" s="376">
        <f t="shared" si="42"/>
        <v>7293750</v>
      </c>
      <c r="O25" s="376">
        <f t="shared" si="42"/>
        <v>7281250</v>
      </c>
      <c r="P25" s="376">
        <f t="shared" si="42"/>
        <v>0</v>
      </c>
      <c r="Q25" s="376">
        <f>+Q379</f>
        <v>0</v>
      </c>
      <c r="R25" s="376">
        <f>+R379</f>
        <v>0</v>
      </c>
      <c r="S25" s="376">
        <f t="shared" ref="S25:T25" si="44">+S379</f>
        <v>0</v>
      </c>
      <c r="T25" s="376">
        <f t="shared" si="44"/>
        <v>0</v>
      </c>
      <c r="U25" s="376">
        <f t="shared" ref="U25:W25" si="45">+U379</f>
        <v>0</v>
      </c>
      <c r="V25" s="376">
        <f t="shared" si="45"/>
        <v>0</v>
      </c>
      <c r="W25" s="376">
        <f t="shared" si="45"/>
        <v>0</v>
      </c>
      <c r="X25" s="4193"/>
      <c r="Y25" s="370"/>
    </row>
    <row r="26" spans="1:29">
      <c r="A26" s="4187"/>
      <c r="B26" s="388" t="s">
        <v>27</v>
      </c>
      <c r="C26" s="389"/>
      <c r="D26" s="366">
        <f>+D46</f>
        <v>8514464</v>
      </c>
      <c r="E26" s="366">
        <f t="shared" ref="E26:P26" si="46">+E46</f>
        <v>0</v>
      </c>
      <c r="F26" s="366">
        <f t="shared" si="46"/>
        <v>0</v>
      </c>
      <c r="G26" s="366">
        <f t="shared" si="46"/>
        <v>0</v>
      </c>
      <c r="H26" s="366">
        <f t="shared" si="46"/>
        <v>0</v>
      </c>
      <c r="I26" s="366">
        <f t="shared" si="46"/>
        <v>0</v>
      </c>
      <c r="J26" s="366">
        <f t="shared" si="46"/>
        <v>2000000</v>
      </c>
      <c r="K26" s="366">
        <f t="shared" si="46"/>
        <v>3524600</v>
      </c>
      <c r="L26" s="366">
        <f t="shared" si="46"/>
        <v>1989864</v>
      </c>
      <c r="M26" s="366">
        <f t="shared" ref="M26" si="47">+M46</f>
        <v>8514464</v>
      </c>
      <c r="N26" s="366">
        <f t="shared" si="46"/>
        <v>1000000</v>
      </c>
      <c r="O26" s="366">
        <f t="shared" si="46"/>
        <v>0</v>
      </c>
      <c r="P26" s="366">
        <f t="shared" si="46"/>
        <v>0</v>
      </c>
      <c r="Q26" s="366">
        <f>+Q46</f>
        <v>0</v>
      </c>
      <c r="R26" s="366">
        <f>+R46</f>
        <v>0</v>
      </c>
      <c r="S26" s="366">
        <f t="shared" ref="S26:T26" si="48">+S46</f>
        <v>0</v>
      </c>
      <c r="T26" s="366">
        <f t="shared" si="48"/>
        <v>0</v>
      </c>
      <c r="U26" s="366">
        <f t="shared" ref="U26:W26" si="49">+U46</f>
        <v>0</v>
      </c>
      <c r="V26" s="366">
        <f t="shared" si="49"/>
        <v>0</v>
      </c>
      <c r="W26" s="366">
        <f t="shared" si="49"/>
        <v>0</v>
      </c>
      <c r="X26" s="4193"/>
      <c r="Y26" s="370"/>
    </row>
    <row r="27" spans="1:29" ht="12" customHeight="1">
      <c r="A27" s="4187"/>
      <c r="B27" s="388" t="s">
        <v>68</v>
      </c>
      <c r="C27" s="389"/>
      <c r="D27" s="366">
        <f t="shared" ref="D27:W27" si="50">+D380+D49</f>
        <v>64746391</v>
      </c>
      <c r="E27" s="366">
        <f t="shared" si="50"/>
        <v>0</v>
      </c>
      <c r="F27" s="366">
        <f t="shared" si="50"/>
        <v>0</v>
      </c>
      <c r="G27" s="366">
        <f t="shared" si="50"/>
        <v>0</v>
      </c>
      <c r="H27" s="366">
        <f t="shared" si="50"/>
        <v>0</v>
      </c>
      <c r="I27" s="366">
        <f t="shared" si="50"/>
        <v>0</v>
      </c>
      <c r="J27" s="366">
        <f t="shared" si="50"/>
        <v>5665000</v>
      </c>
      <c r="K27" s="366">
        <f t="shared" si="50"/>
        <v>6250000</v>
      </c>
      <c r="L27" s="366">
        <f t="shared" si="50"/>
        <v>6250000</v>
      </c>
      <c r="M27" s="366">
        <f t="shared" si="50"/>
        <v>33238536</v>
      </c>
      <c r="N27" s="366">
        <f t="shared" si="50"/>
        <v>15073536</v>
      </c>
      <c r="O27" s="366">
        <f t="shared" si="50"/>
        <v>6250000</v>
      </c>
      <c r="P27" s="366">
        <f t="shared" si="50"/>
        <v>8419285</v>
      </c>
      <c r="Q27" s="366">
        <f t="shared" si="50"/>
        <v>8419285</v>
      </c>
      <c r="R27" s="366">
        <f t="shared" si="50"/>
        <v>8419285</v>
      </c>
      <c r="S27" s="366">
        <f t="shared" si="50"/>
        <v>0</v>
      </c>
      <c r="T27" s="366">
        <f t="shared" si="50"/>
        <v>0</v>
      </c>
      <c r="U27" s="366">
        <f t="shared" si="50"/>
        <v>0</v>
      </c>
      <c r="V27" s="366">
        <f t="shared" si="50"/>
        <v>0</v>
      </c>
      <c r="W27" s="366">
        <f t="shared" si="50"/>
        <v>0</v>
      </c>
      <c r="X27" s="4193"/>
      <c r="Y27" s="370"/>
    </row>
    <row r="28" spans="1:29" ht="12" customHeight="1">
      <c r="A28" s="4187"/>
      <c r="B28" s="364" t="s">
        <v>29</v>
      </c>
      <c r="C28" s="390"/>
      <c r="D28" s="366">
        <f>+D47</f>
        <v>29685689</v>
      </c>
      <c r="E28" s="366">
        <f t="shared" ref="E28:P29" si="51">+E47</f>
        <v>0</v>
      </c>
      <c r="F28" s="366">
        <f t="shared" si="51"/>
        <v>0</v>
      </c>
      <c r="G28" s="366">
        <f t="shared" si="51"/>
        <v>0</v>
      </c>
      <c r="H28" s="366">
        <f t="shared" si="51"/>
        <v>0</v>
      </c>
      <c r="I28" s="366">
        <f t="shared" si="51"/>
        <v>0</v>
      </c>
      <c r="J28" s="366">
        <f t="shared" si="51"/>
        <v>14008762</v>
      </c>
      <c r="K28" s="366">
        <f t="shared" si="51"/>
        <v>9006468</v>
      </c>
      <c r="L28" s="366">
        <f t="shared" si="51"/>
        <v>3091421</v>
      </c>
      <c r="M28" s="366">
        <f t="shared" ref="M28" si="52">+M47</f>
        <v>28981695</v>
      </c>
      <c r="N28" s="366">
        <f t="shared" si="51"/>
        <v>2875044</v>
      </c>
      <c r="O28" s="366">
        <f t="shared" si="51"/>
        <v>703083</v>
      </c>
      <c r="P28" s="366">
        <f t="shared" si="51"/>
        <v>911</v>
      </c>
      <c r="Q28" s="366">
        <f>+Q47</f>
        <v>0</v>
      </c>
      <c r="R28" s="366">
        <f>+R47</f>
        <v>0</v>
      </c>
      <c r="S28" s="366">
        <f t="shared" ref="S28:T28" si="53">+S47</f>
        <v>0</v>
      </c>
      <c r="T28" s="366">
        <f t="shared" si="53"/>
        <v>0</v>
      </c>
      <c r="U28" s="366">
        <f t="shared" ref="U28:W28" si="54">+U47</f>
        <v>0</v>
      </c>
      <c r="V28" s="366">
        <f t="shared" si="54"/>
        <v>0</v>
      </c>
      <c r="W28" s="366">
        <f t="shared" si="54"/>
        <v>0</v>
      </c>
      <c r="X28" s="4193"/>
      <c r="Y28" s="370"/>
    </row>
    <row r="29" spans="1:29" ht="12" customHeight="1">
      <c r="A29" s="4187"/>
      <c r="B29" s="364" t="s">
        <v>96</v>
      </c>
      <c r="C29" s="390"/>
      <c r="D29" s="366">
        <f>+D48</f>
        <v>841481</v>
      </c>
      <c r="E29" s="366">
        <f t="shared" si="51"/>
        <v>0</v>
      </c>
      <c r="F29" s="366">
        <f t="shared" si="51"/>
        <v>0</v>
      </c>
      <c r="G29" s="366">
        <f t="shared" si="51"/>
        <v>0</v>
      </c>
      <c r="H29" s="366">
        <f t="shared" si="51"/>
        <v>0</v>
      </c>
      <c r="I29" s="366">
        <f t="shared" si="51"/>
        <v>0</v>
      </c>
      <c r="J29" s="366">
        <f t="shared" si="51"/>
        <v>0</v>
      </c>
      <c r="K29" s="366">
        <f t="shared" si="51"/>
        <v>0</v>
      </c>
      <c r="L29" s="366">
        <f t="shared" si="51"/>
        <v>841481</v>
      </c>
      <c r="M29" s="366">
        <f t="shared" ref="M29" si="55">+M48</f>
        <v>841481</v>
      </c>
      <c r="N29" s="366">
        <f t="shared" si="51"/>
        <v>0</v>
      </c>
      <c r="O29" s="366">
        <f t="shared" si="51"/>
        <v>0</v>
      </c>
      <c r="P29" s="366">
        <f t="shared" si="51"/>
        <v>0</v>
      </c>
      <c r="Q29" s="366">
        <f>+Q48</f>
        <v>0</v>
      </c>
      <c r="R29" s="366">
        <f>+R48</f>
        <v>0</v>
      </c>
      <c r="S29" s="366">
        <f t="shared" ref="S29:T29" si="56">+S48</f>
        <v>0</v>
      </c>
      <c r="T29" s="366">
        <f t="shared" si="56"/>
        <v>0</v>
      </c>
      <c r="U29" s="366">
        <f t="shared" ref="U29:W29" si="57">+U48</f>
        <v>0</v>
      </c>
      <c r="V29" s="366">
        <f t="shared" si="57"/>
        <v>0</v>
      </c>
      <c r="W29" s="366">
        <f t="shared" si="57"/>
        <v>0</v>
      </c>
      <c r="X29" s="4193"/>
      <c r="Y29" s="370"/>
    </row>
    <row r="30" spans="1:29" ht="12.75" customHeight="1">
      <c r="A30" s="4187"/>
      <c r="B30" s="391" t="s">
        <v>30</v>
      </c>
      <c r="C30" s="392"/>
      <c r="D30" s="386">
        <f>+D31+D32+D33+D34</f>
        <v>824337608</v>
      </c>
      <c r="E30" s="386">
        <f t="shared" ref="E30:P30" si="58">+E31+E32+E33+E34</f>
        <v>0</v>
      </c>
      <c r="F30" s="386">
        <f t="shared" si="58"/>
        <v>0</v>
      </c>
      <c r="G30" s="386">
        <f t="shared" si="58"/>
        <v>0</v>
      </c>
      <c r="H30" s="386">
        <f t="shared" si="58"/>
        <v>0</v>
      </c>
      <c r="I30" s="386">
        <f t="shared" si="58"/>
        <v>0</v>
      </c>
      <c r="J30" s="386">
        <f t="shared" si="58"/>
        <v>6384962</v>
      </c>
      <c r="K30" s="386">
        <f t="shared" si="58"/>
        <v>47983808</v>
      </c>
      <c r="L30" s="386">
        <f t="shared" si="58"/>
        <v>94224177</v>
      </c>
      <c r="M30" s="386">
        <f t="shared" ref="M30" si="59">+M31+M32+M33+M34</f>
        <v>310842754</v>
      </c>
      <c r="N30" s="386">
        <f>+N31+N32+N33+N34</f>
        <v>162249807</v>
      </c>
      <c r="O30" s="386">
        <f t="shared" si="58"/>
        <v>140488421</v>
      </c>
      <c r="P30" s="386">
        <f t="shared" si="58"/>
        <v>109831282</v>
      </c>
      <c r="Q30" s="386">
        <f>+Q31+Q32+Q33+Q34</f>
        <v>165911394</v>
      </c>
      <c r="R30" s="386">
        <f>+R31+R32+R33+R34</f>
        <v>97033982</v>
      </c>
      <c r="S30" s="386">
        <f t="shared" ref="S30:T30" si="60">+S31+S32+S33+S34</f>
        <v>229775</v>
      </c>
      <c r="T30" s="386">
        <f t="shared" si="60"/>
        <v>0</v>
      </c>
      <c r="U30" s="386">
        <f t="shared" ref="U30:W30" si="61">+U31+U32+U33+U34</f>
        <v>0</v>
      </c>
      <c r="V30" s="386">
        <f t="shared" si="61"/>
        <v>0</v>
      </c>
      <c r="W30" s="386">
        <f t="shared" si="61"/>
        <v>0</v>
      </c>
      <c r="X30" s="4193"/>
      <c r="Y30" s="370"/>
      <c r="Z30" s="1056">
        <f>D32-D20</f>
        <v>7650000</v>
      </c>
    </row>
    <row r="31" spans="1:29" ht="3" hidden="1" customHeight="1">
      <c r="A31" s="4187"/>
      <c r="B31" s="374" t="s">
        <v>29</v>
      </c>
      <c r="C31" s="375"/>
      <c r="D31" s="366">
        <f>+D51</f>
        <v>0</v>
      </c>
      <c r="E31" s="366">
        <f t="shared" ref="E31:R31" si="62">+E51</f>
        <v>0</v>
      </c>
      <c r="F31" s="366">
        <f t="shared" si="62"/>
        <v>0</v>
      </c>
      <c r="G31" s="366">
        <f t="shared" si="62"/>
        <v>0</v>
      </c>
      <c r="H31" s="366">
        <f t="shared" si="62"/>
        <v>0</v>
      </c>
      <c r="I31" s="366">
        <f t="shared" si="62"/>
        <v>0</v>
      </c>
      <c r="J31" s="366">
        <f t="shared" si="62"/>
        <v>0</v>
      </c>
      <c r="K31" s="366">
        <f t="shared" si="62"/>
        <v>0</v>
      </c>
      <c r="L31" s="366">
        <f t="shared" si="62"/>
        <v>0</v>
      </c>
      <c r="M31" s="366">
        <f t="shared" ref="M31" si="63">+M51</f>
        <v>0</v>
      </c>
      <c r="N31" s="366">
        <f t="shared" si="62"/>
        <v>0</v>
      </c>
      <c r="O31" s="366">
        <f t="shared" si="62"/>
        <v>0</v>
      </c>
      <c r="P31" s="366">
        <f t="shared" si="62"/>
        <v>0</v>
      </c>
      <c r="Q31" s="366">
        <f t="shared" si="62"/>
        <v>0</v>
      </c>
      <c r="R31" s="366">
        <f t="shared" si="62"/>
        <v>0</v>
      </c>
      <c r="S31" s="366">
        <f t="shared" ref="S31:T31" si="64">+S51</f>
        <v>0</v>
      </c>
      <c r="T31" s="366">
        <f t="shared" si="64"/>
        <v>0</v>
      </c>
      <c r="U31" s="366">
        <f t="shared" ref="U31:W31" si="65">+U51</f>
        <v>0</v>
      </c>
      <c r="V31" s="366">
        <f t="shared" si="65"/>
        <v>0</v>
      </c>
      <c r="W31" s="366">
        <f t="shared" si="65"/>
        <v>0</v>
      </c>
      <c r="X31" s="4193"/>
      <c r="Y31" s="370"/>
    </row>
    <row r="32" spans="1:29" ht="11.25" customHeight="1">
      <c r="A32" s="4187"/>
      <c r="B32" s="378" t="s">
        <v>32</v>
      </c>
      <c r="C32" s="369"/>
      <c r="D32" s="393">
        <f t="shared" ref="D32:Q32" si="66">+D333+D419</f>
        <v>8106157</v>
      </c>
      <c r="E32" s="393">
        <f t="shared" si="66"/>
        <v>0</v>
      </c>
      <c r="F32" s="393">
        <f t="shared" si="66"/>
        <v>0</v>
      </c>
      <c r="G32" s="393">
        <f t="shared" si="66"/>
        <v>0</v>
      </c>
      <c r="H32" s="393">
        <f t="shared" si="66"/>
        <v>0</v>
      </c>
      <c r="I32" s="393">
        <f t="shared" si="66"/>
        <v>0</v>
      </c>
      <c r="J32" s="393">
        <f t="shared" si="66"/>
        <v>0</v>
      </c>
      <c r="K32" s="393">
        <f t="shared" si="66"/>
        <v>0</v>
      </c>
      <c r="L32" s="393">
        <f t="shared" si="66"/>
        <v>0</v>
      </c>
      <c r="M32" s="393">
        <f t="shared" si="66"/>
        <v>71768</v>
      </c>
      <c r="N32" s="393">
        <f t="shared" si="66"/>
        <v>71768</v>
      </c>
      <c r="O32" s="393">
        <f t="shared" si="66"/>
        <v>0</v>
      </c>
      <c r="P32" s="393">
        <f t="shared" si="66"/>
        <v>2550000</v>
      </c>
      <c r="Q32" s="393">
        <f t="shared" si="66"/>
        <v>5120632</v>
      </c>
      <c r="R32" s="393">
        <f>+R333</f>
        <v>133982</v>
      </c>
      <c r="S32" s="393">
        <f t="shared" ref="S32:T32" si="67">+S333</f>
        <v>229775</v>
      </c>
      <c r="T32" s="393">
        <f t="shared" si="67"/>
        <v>0</v>
      </c>
      <c r="U32" s="393">
        <f t="shared" ref="U32:W32" si="68">+U333</f>
        <v>0</v>
      </c>
      <c r="V32" s="393">
        <f t="shared" si="68"/>
        <v>0</v>
      </c>
      <c r="W32" s="393">
        <f t="shared" si="68"/>
        <v>0</v>
      </c>
      <c r="X32" s="4193"/>
      <c r="Y32" s="370"/>
      <c r="Z32" s="1056">
        <f>D33-D21</f>
        <v>0</v>
      </c>
    </row>
    <row r="33" spans="1:27">
      <c r="A33" s="4187"/>
      <c r="B33" s="378" t="s">
        <v>33</v>
      </c>
      <c r="C33" s="394"/>
      <c r="D33" s="393">
        <f t="shared" ref="D33:W33" si="69">+D52+D382</f>
        <v>816231451</v>
      </c>
      <c r="E33" s="393">
        <f t="shared" si="69"/>
        <v>0</v>
      </c>
      <c r="F33" s="393">
        <f t="shared" si="69"/>
        <v>0</v>
      </c>
      <c r="G33" s="393">
        <f t="shared" si="69"/>
        <v>0</v>
      </c>
      <c r="H33" s="393">
        <f t="shared" si="69"/>
        <v>0</v>
      </c>
      <c r="I33" s="393">
        <f t="shared" si="69"/>
        <v>0</v>
      </c>
      <c r="J33" s="393">
        <f t="shared" si="69"/>
        <v>6384962</v>
      </c>
      <c r="K33" s="393">
        <f t="shared" si="69"/>
        <v>47983808</v>
      </c>
      <c r="L33" s="393">
        <f t="shared" si="69"/>
        <v>94224177</v>
      </c>
      <c r="M33" s="393">
        <f t="shared" si="69"/>
        <v>310770986</v>
      </c>
      <c r="N33" s="393">
        <f t="shared" si="69"/>
        <v>162178039</v>
      </c>
      <c r="O33" s="393">
        <f t="shared" si="69"/>
        <v>140488421</v>
      </c>
      <c r="P33" s="393">
        <f t="shared" si="69"/>
        <v>107281282</v>
      </c>
      <c r="Q33" s="393">
        <f t="shared" si="69"/>
        <v>160790762</v>
      </c>
      <c r="R33" s="393">
        <f t="shared" si="69"/>
        <v>96900000</v>
      </c>
      <c r="S33" s="393">
        <f t="shared" si="69"/>
        <v>0</v>
      </c>
      <c r="T33" s="393">
        <f t="shared" si="69"/>
        <v>0</v>
      </c>
      <c r="U33" s="393">
        <f t="shared" si="69"/>
        <v>0</v>
      </c>
      <c r="V33" s="393">
        <f t="shared" si="69"/>
        <v>0</v>
      </c>
      <c r="W33" s="393">
        <f t="shared" si="69"/>
        <v>0</v>
      </c>
      <c r="X33" s="4193"/>
      <c r="Y33" s="370"/>
    </row>
    <row r="34" spans="1:27" s="1066" customFormat="1" ht="13.5" hidden="1" thickBot="1">
      <c r="A34" s="4188"/>
      <c r="B34" s="395" t="s">
        <v>95</v>
      </c>
      <c r="C34" s="396"/>
      <c r="D34" s="397">
        <f>+D383</f>
        <v>0</v>
      </c>
      <c r="E34" s="397">
        <f t="shared" ref="E34:P34" si="70">+E383</f>
        <v>0</v>
      </c>
      <c r="F34" s="397">
        <f t="shared" si="70"/>
        <v>0</v>
      </c>
      <c r="G34" s="397">
        <f t="shared" si="70"/>
        <v>0</v>
      </c>
      <c r="H34" s="397">
        <f t="shared" si="70"/>
        <v>0</v>
      </c>
      <c r="I34" s="397">
        <f t="shared" si="70"/>
        <v>0</v>
      </c>
      <c r="J34" s="397">
        <f t="shared" si="70"/>
        <v>0</v>
      </c>
      <c r="K34" s="397">
        <f t="shared" si="70"/>
        <v>0</v>
      </c>
      <c r="L34" s="397">
        <f t="shared" si="70"/>
        <v>0</v>
      </c>
      <c r="M34" s="397">
        <f t="shared" ref="M34" si="71">+M383</f>
        <v>0</v>
      </c>
      <c r="N34" s="397">
        <f t="shared" si="70"/>
        <v>0</v>
      </c>
      <c r="O34" s="397">
        <f t="shared" si="70"/>
        <v>0</v>
      </c>
      <c r="P34" s="397">
        <f t="shared" si="70"/>
        <v>0</v>
      </c>
      <c r="Q34" s="397">
        <f>+Q383</f>
        <v>0</v>
      </c>
      <c r="R34" s="397">
        <f>+R383</f>
        <v>0</v>
      </c>
      <c r="S34" s="397">
        <f t="shared" ref="S34:T34" si="72">+S383</f>
        <v>0</v>
      </c>
      <c r="T34" s="397">
        <f t="shared" si="72"/>
        <v>0</v>
      </c>
      <c r="U34" s="397">
        <f t="shared" ref="U34:W34" si="73">+U383</f>
        <v>0</v>
      </c>
      <c r="V34" s="397">
        <f t="shared" si="73"/>
        <v>0</v>
      </c>
      <c r="W34" s="397">
        <f t="shared" si="73"/>
        <v>0</v>
      </c>
      <c r="X34" s="4194"/>
      <c r="Y34" s="370"/>
    </row>
    <row r="35" spans="1:27" ht="29.25" customHeight="1">
      <c r="A35" s="1762" t="s">
        <v>410</v>
      </c>
      <c r="B35" s="1647" t="s">
        <v>466</v>
      </c>
      <c r="C35" s="398"/>
      <c r="D35" s="399"/>
      <c r="E35" s="400"/>
      <c r="F35" s="400"/>
      <c r="G35" s="400"/>
      <c r="H35" s="401"/>
      <c r="I35" s="400"/>
      <c r="J35" s="402"/>
      <c r="K35" s="402"/>
      <c r="L35" s="402"/>
      <c r="M35" s="403"/>
      <c r="N35" s="403"/>
      <c r="O35" s="403"/>
      <c r="P35" s="403"/>
      <c r="Q35" s="403"/>
      <c r="R35" s="403"/>
      <c r="S35" s="403"/>
      <c r="T35" s="403"/>
      <c r="U35" s="403"/>
      <c r="V35" s="403"/>
      <c r="W35" s="403"/>
      <c r="X35" s="404"/>
      <c r="Y35" s="405"/>
    </row>
    <row r="36" spans="1:27" ht="13.5" customHeight="1">
      <c r="A36" s="1762"/>
      <c r="B36" s="406" t="s">
        <v>22</v>
      </c>
      <c r="C36" s="382"/>
      <c r="D36" s="407">
        <f>+D37+D42</f>
        <v>767039447</v>
      </c>
      <c r="E36" s="407">
        <f t="shared" ref="E36:P36" si="74">+E37+E42</f>
        <v>628901</v>
      </c>
      <c r="F36" s="407">
        <f t="shared" si="74"/>
        <v>49287</v>
      </c>
      <c r="G36" s="407">
        <f t="shared" si="74"/>
        <v>159270</v>
      </c>
      <c r="H36" s="407">
        <f t="shared" si="74"/>
        <v>164824</v>
      </c>
      <c r="I36" s="407">
        <f t="shared" si="74"/>
        <v>2705441</v>
      </c>
      <c r="J36" s="407">
        <f t="shared" si="74"/>
        <v>37968458</v>
      </c>
      <c r="K36" s="407">
        <f t="shared" si="74"/>
        <v>71581650</v>
      </c>
      <c r="L36" s="407">
        <f t="shared" si="74"/>
        <v>79806586</v>
      </c>
      <c r="M36" s="407">
        <f t="shared" ref="M36" si="75">+M37+M42</f>
        <v>285247771</v>
      </c>
      <c r="N36" s="407">
        <f t="shared" si="74"/>
        <v>92556735</v>
      </c>
      <c r="O36" s="407">
        <f t="shared" si="74"/>
        <v>70614918</v>
      </c>
      <c r="P36" s="407">
        <f t="shared" si="74"/>
        <v>106943233</v>
      </c>
      <c r="Q36" s="407">
        <f>+Q37+Q42</f>
        <v>185249026</v>
      </c>
      <c r="R36" s="407">
        <f>+R37+R42</f>
        <v>118984499</v>
      </c>
      <c r="S36" s="407">
        <f t="shared" ref="S36:T36" si="76">+S37+S42</f>
        <v>0</v>
      </c>
      <c r="T36" s="407">
        <f t="shared" si="76"/>
        <v>0</v>
      </c>
      <c r="U36" s="407">
        <f t="shared" ref="U36:V36" si="77">+U37+U42</f>
        <v>0</v>
      </c>
      <c r="V36" s="407">
        <f t="shared" si="77"/>
        <v>0</v>
      </c>
      <c r="W36" s="407">
        <f t="shared" ref="W36" si="78">+W37+W42</f>
        <v>0</v>
      </c>
      <c r="X36" s="408">
        <f>+X37+X42</f>
        <v>411176758</v>
      </c>
      <c r="Y36" s="405"/>
      <c r="Z36" s="1229">
        <f>+O36+P36</f>
        <v>177558151</v>
      </c>
    </row>
    <row r="37" spans="1:27" s="948" customFormat="1" ht="13.5" customHeight="1">
      <c r="A37" s="1762"/>
      <c r="B37" s="409" t="s">
        <v>36</v>
      </c>
      <c r="C37" s="410"/>
      <c r="D37" s="411">
        <f>+D38+D39+D40+D41</f>
        <v>130675658</v>
      </c>
      <c r="E37" s="411">
        <f t="shared" ref="E37:W37" si="79">+E38+E39+E40+E41</f>
        <v>372014</v>
      </c>
      <c r="F37" s="411">
        <f t="shared" si="79"/>
        <v>49287</v>
      </c>
      <c r="G37" s="411">
        <f t="shared" si="79"/>
        <v>110540</v>
      </c>
      <c r="H37" s="411">
        <f t="shared" si="79"/>
        <v>156078</v>
      </c>
      <c r="I37" s="411">
        <f t="shared" si="79"/>
        <v>1383656</v>
      </c>
      <c r="J37" s="411">
        <f t="shared" si="79"/>
        <v>23993255</v>
      </c>
      <c r="K37" s="411">
        <f t="shared" si="79"/>
        <v>16200338</v>
      </c>
      <c r="L37" s="411">
        <f t="shared" si="79"/>
        <v>5272970</v>
      </c>
      <c r="M37" s="411">
        <f t="shared" si="79"/>
        <v>56229936</v>
      </c>
      <c r="N37" s="411">
        <f t="shared" si="79"/>
        <v>9007703</v>
      </c>
      <c r="O37" s="411">
        <f t="shared" si="79"/>
        <v>2623610</v>
      </c>
      <c r="P37" s="411">
        <f t="shared" si="79"/>
        <v>20879259</v>
      </c>
      <c r="Q37" s="411">
        <f t="shared" si="79"/>
        <v>28858354</v>
      </c>
      <c r="R37" s="411">
        <f t="shared" si="79"/>
        <v>22084499</v>
      </c>
      <c r="S37" s="411">
        <f t="shared" si="79"/>
        <v>0</v>
      </c>
      <c r="T37" s="411">
        <f t="shared" si="79"/>
        <v>0</v>
      </c>
      <c r="U37" s="411">
        <f t="shared" si="79"/>
        <v>0</v>
      </c>
      <c r="V37" s="411">
        <f t="shared" si="79"/>
        <v>0</v>
      </c>
      <c r="W37" s="411">
        <f t="shared" si="79"/>
        <v>0</v>
      </c>
      <c r="X37" s="412">
        <f>+X38+X39+X40+X41</f>
        <v>71822112</v>
      </c>
      <c r="Y37" s="405"/>
      <c r="AA37" s="947"/>
    </row>
    <row r="38" spans="1:27" ht="13.5" customHeight="1">
      <c r="A38" s="1762"/>
      <c r="B38" s="413" t="s">
        <v>24</v>
      </c>
      <c r="C38" s="414"/>
      <c r="D38" s="415">
        <f t="shared" ref="D38:W38" si="80">+D302+D266+D314+D278+D126+D84+D135+D290+D147+D159++D170+D250+D100+D179+D114+D191+D200+D241++D56+D226+D70+D216</f>
        <v>58394114</v>
      </c>
      <c r="E38" s="415">
        <f t="shared" si="80"/>
        <v>165264</v>
      </c>
      <c r="F38" s="415">
        <f t="shared" si="80"/>
        <v>49287</v>
      </c>
      <c r="G38" s="415">
        <f t="shared" si="80"/>
        <v>75979</v>
      </c>
      <c r="H38" s="415">
        <f t="shared" si="80"/>
        <v>0</v>
      </c>
      <c r="I38" s="415">
        <f t="shared" si="80"/>
        <v>886698</v>
      </c>
      <c r="J38" s="415">
        <f t="shared" si="80"/>
        <v>1547182</v>
      </c>
      <c r="K38" s="415">
        <f t="shared" si="80"/>
        <v>5709072</v>
      </c>
      <c r="L38" s="415">
        <f t="shared" si="80"/>
        <v>3311064</v>
      </c>
      <c r="M38" s="415">
        <f>+M302+M266+M314+M278+M126+M84+M135+M290+M147+M159+M170+M250+M100+M179+M114+M191+M200+M241++M56+M226+M70+M216</f>
        <v>18032814</v>
      </c>
      <c r="N38" s="415">
        <f t="shared" si="80"/>
        <v>6413534</v>
      </c>
      <c r="O38" s="415">
        <f t="shared" si="80"/>
        <v>2620579</v>
      </c>
      <c r="P38" s="415">
        <f t="shared" si="80"/>
        <v>16164009</v>
      </c>
      <c r="Q38" s="415">
        <f t="shared" si="80"/>
        <v>7911498</v>
      </c>
      <c r="R38" s="415">
        <f>+R302+R266+R314+R278+R126+R84+R135+R290+R147+R159++R170+R250+R100+R179+R114+R191+R200+R241++R56+R226+R70+R216</f>
        <v>13665214</v>
      </c>
      <c r="S38" s="415">
        <f t="shared" si="80"/>
        <v>0</v>
      </c>
      <c r="T38" s="415">
        <f t="shared" si="80"/>
        <v>0</v>
      </c>
      <c r="U38" s="415">
        <f t="shared" si="80"/>
        <v>0</v>
      </c>
      <c r="V38" s="415">
        <f t="shared" si="80"/>
        <v>0</v>
      </c>
      <c r="W38" s="415">
        <f t="shared" si="80"/>
        <v>0</v>
      </c>
      <c r="X38" s="416">
        <f>SUM(P38:T38)</f>
        <v>37740721</v>
      </c>
      <c r="Y38" s="417"/>
      <c r="Z38" s="1056"/>
      <c r="AA38" s="947"/>
    </row>
    <row r="39" spans="1:27" ht="12" customHeight="1">
      <c r="A39" s="1762"/>
      <c r="B39" s="418" t="s">
        <v>27</v>
      </c>
      <c r="C39" s="419"/>
      <c r="D39" s="415">
        <f t="shared" ref="D39:W39" si="81">+D267+D316+D279+D136+D148+D228+D252+D86+D180</f>
        <v>8514464</v>
      </c>
      <c r="E39" s="415">
        <f t="shared" si="81"/>
        <v>0</v>
      </c>
      <c r="F39" s="415">
        <f t="shared" si="81"/>
        <v>0</v>
      </c>
      <c r="G39" s="415">
        <f t="shared" si="81"/>
        <v>0</v>
      </c>
      <c r="H39" s="415">
        <f t="shared" si="81"/>
        <v>0</v>
      </c>
      <c r="I39" s="415">
        <f t="shared" si="81"/>
        <v>0</v>
      </c>
      <c r="J39" s="415">
        <f t="shared" si="81"/>
        <v>2000000</v>
      </c>
      <c r="K39" s="415">
        <f t="shared" si="81"/>
        <v>5514464</v>
      </c>
      <c r="L39" s="415">
        <f t="shared" si="81"/>
        <v>0</v>
      </c>
      <c r="M39" s="415">
        <f t="shared" si="81"/>
        <v>8514464</v>
      </c>
      <c r="N39" s="415">
        <f t="shared" si="81"/>
        <v>1000000</v>
      </c>
      <c r="O39" s="415">
        <f t="shared" si="81"/>
        <v>0</v>
      </c>
      <c r="P39" s="415">
        <f t="shared" si="81"/>
        <v>0</v>
      </c>
      <c r="Q39" s="415">
        <f t="shared" si="81"/>
        <v>0</v>
      </c>
      <c r="R39" s="415">
        <f t="shared" si="81"/>
        <v>0</v>
      </c>
      <c r="S39" s="415">
        <f t="shared" si="81"/>
        <v>0</v>
      </c>
      <c r="T39" s="415">
        <f t="shared" si="81"/>
        <v>0</v>
      </c>
      <c r="U39" s="415">
        <f t="shared" si="81"/>
        <v>0</v>
      </c>
      <c r="V39" s="415">
        <f t="shared" si="81"/>
        <v>0</v>
      </c>
      <c r="W39" s="415">
        <f t="shared" si="81"/>
        <v>0</v>
      </c>
      <c r="X39" s="416">
        <f>SUM(P39:T39)</f>
        <v>0</v>
      </c>
      <c r="Y39" s="417"/>
      <c r="Z39" s="1056">
        <f>D39-D46</f>
        <v>0</v>
      </c>
      <c r="AA39" s="947"/>
    </row>
    <row r="40" spans="1:27" ht="12" customHeight="1">
      <c r="A40" s="1762"/>
      <c r="B40" s="418" t="s">
        <v>29</v>
      </c>
      <c r="C40" s="419"/>
      <c r="D40" s="415">
        <f t="shared" ref="D40:W40" si="82">+D57+D227+D71+D251+D101+D85+D115</f>
        <v>29685689</v>
      </c>
      <c r="E40" s="415">
        <f t="shared" si="82"/>
        <v>206750</v>
      </c>
      <c r="F40" s="415">
        <f t="shared" si="82"/>
        <v>0</v>
      </c>
      <c r="G40" s="415">
        <f t="shared" si="82"/>
        <v>34561</v>
      </c>
      <c r="H40" s="415">
        <f t="shared" si="82"/>
        <v>156078</v>
      </c>
      <c r="I40" s="415">
        <f t="shared" si="82"/>
        <v>496958</v>
      </c>
      <c r="J40" s="415">
        <f t="shared" si="82"/>
        <v>20446073</v>
      </c>
      <c r="K40" s="415">
        <f t="shared" si="82"/>
        <v>4976802</v>
      </c>
      <c r="L40" s="415">
        <f t="shared" si="82"/>
        <v>1961906</v>
      </c>
      <c r="M40" s="415">
        <f t="shared" si="82"/>
        <v>29682658</v>
      </c>
      <c r="N40" s="415">
        <f t="shared" si="82"/>
        <v>1594169</v>
      </c>
      <c r="O40" s="415">
        <f t="shared" si="82"/>
        <v>3031</v>
      </c>
      <c r="P40" s="415">
        <f t="shared" si="82"/>
        <v>0</v>
      </c>
      <c r="Q40" s="415">
        <f t="shared" si="82"/>
        <v>0</v>
      </c>
      <c r="R40" s="415">
        <f t="shared" si="82"/>
        <v>0</v>
      </c>
      <c r="S40" s="415">
        <f t="shared" si="82"/>
        <v>0</v>
      </c>
      <c r="T40" s="415">
        <f t="shared" si="82"/>
        <v>0</v>
      </c>
      <c r="U40" s="415">
        <f t="shared" si="82"/>
        <v>0</v>
      </c>
      <c r="V40" s="415">
        <f t="shared" si="82"/>
        <v>0</v>
      </c>
      <c r="W40" s="415">
        <f t="shared" si="82"/>
        <v>0</v>
      </c>
      <c r="X40" s="416">
        <f>SUM(P40:T40)</f>
        <v>0</v>
      </c>
      <c r="Y40" s="417"/>
      <c r="Z40" s="1056">
        <f>D40-D47</f>
        <v>0</v>
      </c>
      <c r="AA40" s="947"/>
    </row>
    <row r="41" spans="1:27" ht="12" customHeight="1">
      <c r="A41" s="1943"/>
      <c r="B41" s="418" t="s">
        <v>68</v>
      </c>
      <c r="C41" s="419"/>
      <c r="D41" s="2268">
        <f>D291+D303+D315</f>
        <v>34081391</v>
      </c>
      <c r="E41" s="2268">
        <f t="shared" ref="E41:W41" si="83">E291+E303+E315</f>
        <v>0</v>
      </c>
      <c r="F41" s="2268">
        <f t="shared" si="83"/>
        <v>0</v>
      </c>
      <c r="G41" s="2268">
        <f t="shared" si="83"/>
        <v>0</v>
      </c>
      <c r="H41" s="2268">
        <f t="shared" si="83"/>
        <v>0</v>
      </c>
      <c r="I41" s="2268">
        <f t="shared" si="83"/>
        <v>0</v>
      </c>
      <c r="J41" s="2268">
        <f t="shared" si="83"/>
        <v>0</v>
      </c>
      <c r="K41" s="2268">
        <f t="shared" si="83"/>
        <v>0</v>
      </c>
      <c r="L41" s="2268">
        <f t="shared" si="83"/>
        <v>0</v>
      </c>
      <c r="M41" s="2268">
        <f>M291+M303+M315</f>
        <v>0</v>
      </c>
      <c r="N41" s="2268">
        <f t="shared" si="83"/>
        <v>0</v>
      </c>
      <c r="O41" s="2268">
        <f t="shared" si="83"/>
        <v>0</v>
      </c>
      <c r="P41" s="2268">
        <f t="shared" si="83"/>
        <v>4715250</v>
      </c>
      <c r="Q41" s="2268">
        <f t="shared" si="83"/>
        <v>20946856</v>
      </c>
      <c r="R41" s="2268">
        <f t="shared" si="83"/>
        <v>8419285</v>
      </c>
      <c r="S41" s="2268">
        <f t="shared" si="83"/>
        <v>0</v>
      </c>
      <c r="T41" s="2268">
        <f t="shared" si="83"/>
        <v>0</v>
      </c>
      <c r="U41" s="2268">
        <f t="shared" si="83"/>
        <v>0</v>
      </c>
      <c r="V41" s="2268">
        <f t="shared" si="83"/>
        <v>0</v>
      </c>
      <c r="W41" s="2268">
        <f t="shared" si="83"/>
        <v>0</v>
      </c>
      <c r="X41" s="416">
        <f>SUM(P41:T41)</f>
        <v>34081391</v>
      </c>
      <c r="Y41" s="417"/>
      <c r="Z41" s="1056"/>
      <c r="AA41" s="947"/>
    </row>
    <row r="42" spans="1:27" s="948" customFormat="1" ht="14.25" customHeight="1">
      <c r="A42" s="1762"/>
      <c r="B42" s="420" t="s">
        <v>30</v>
      </c>
      <c r="C42" s="421"/>
      <c r="D42" s="411">
        <f>+D43</f>
        <v>636363789</v>
      </c>
      <c r="E42" s="411">
        <f t="shared" ref="E42:W42" si="84">+E43</f>
        <v>256887</v>
      </c>
      <c r="F42" s="411">
        <f t="shared" si="84"/>
        <v>0</v>
      </c>
      <c r="G42" s="411">
        <f t="shared" si="84"/>
        <v>48730</v>
      </c>
      <c r="H42" s="411">
        <f t="shared" si="84"/>
        <v>8746</v>
      </c>
      <c r="I42" s="411">
        <f t="shared" si="84"/>
        <v>1321785</v>
      </c>
      <c r="J42" s="411">
        <f t="shared" si="84"/>
        <v>13975203</v>
      </c>
      <c r="K42" s="411">
        <f t="shared" si="84"/>
        <v>55381312</v>
      </c>
      <c r="L42" s="411">
        <f t="shared" si="84"/>
        <v>74533616</v>
      </c>
      <c r="M42" s="411">
        <f t="shared" si="84"/>
        <v>229017835</v>
      </c>
      <c r="N42" s="411">
        <f t="shared" si="84"/>
        <v>83549032</v>
      </c>
      <c r="O42" s="411">
        <f t="shared" si="84"/>
        <v>67991308</v>
      </c>
      <c r="P42" s="411">
        <f t="shared" si="84"/>
        <v>86063974</v>
      </c>
      <c r="Q42" s="411">
        <f t="shared" si="84"/>
        <v>156390672</v>
      </c>
      <c r="R42" s="411">
        <f t="shared" si="84"/>
        <v>96900000</v>
      </c>
      <c r="S42" s="411">
        <f t="shared" si="84"/>
        <v>0</v>
      </c>
      <c r="T42" s="411">
        <f t="shared" si="84"/>
        <v>0</v>
      </c>
      <c r="U42" s="411">
        <f t="shared" si="84"/>
        <v>0</v>
      </c>
      <c r="V42" s="411">
        <f t="shared" si="84"/>
        <v>0</v>
      </c>
      <c r="W42" s="411">
        <f t="shared" si="84"/>
        <v>0</v>
      </c>
      <c r="X42" s="422">
        <f>+X43</f>
        <v>339354646</v>
      </c>
      <c r="Y42" s="417"/>
      <c r="AA42" s="947"/>
    </row>
    <row r="43" spans="1:27" ht="11.25" customHeight="1">
      <c r="A43" s="1762"/>
      <c r="B43" s="424" t="s">
        <v>33</v>
      </c>
      <c r="C43" s="425"/>
      <c r="D43" s="426">
        <f>+D305+D269+D60+D230+D74+D318+D281+D128+D89+D138+D293+D150+D161+D172+D255+D104+D182+D117+D193+D202+D243+D209+D218</f>
        <v>636363789</v>
      </c>
      <c r="E43" s="426">
        <f t="shared" ref="E43:W43" si="85">+E305+E269+E60+E230+E74+E318+E281+E128+E89+E138+E293+E150+E161+E172+E255+E104+E182+E117+E193+E202+E243+E209+E218</f>
        <v>256887</v>
      </c>
      <c r="F43" s="426">
        <f t="shared" si="85"/>
        <v>0</v>
      </c>
      <c r="G43" s="426">
        <f t="shared" si="85"/>
        <v>48730</v>
      </c>
      <c r="H43" s="426">
        <f t="shared" si="85"/>
        <v>8746</v>
      </c>
      <c r="I43" s="426">
        <f t="shared" si="85"/>
        <v>1321785</v>
      </c>
      <c r="J43" s="426">
        <f t="shared" si="85"/>
        <v>13975203</v>
      </c>
      <c r="K43" s="426">
        <f t="shared" si="85"/>
        <v>55381312</v>
      </c>
      <c r="L43" s="426">
        <f t="shared" si="85"/>
        <v>74533616</v>
      </c>
      <c r="M43" s="426">
        <f t="shared" si="85"/>
        <v>229017835</v>
      </c>
      <c r="N43" s="426">
        <f t="shared" si="85"/>
        <v>83549032</v>
      </c>
      <c r="O43" s="426">
        <f t="shared" si="85"/>
        <v>67991308</v>
      </c>
      <c r="P43" s="426">
        <f t="shared" si="85"/>
        <v>86063974</v>
      </c>
      <c r="Q43" s="426">
        <f t="shared" si="85"/>
        <v>156390672</v>
      </c>
      <c r="R43" s="426">
        <f t="shared" si="85"/>
        <v>96900000</v>
      </c>
      <c r="S43" s="426">
        <f t="shared" si="85"/>
        <v>0</v>
      </c>
      <c r="T43" s="426">
        <f t="shared" si="85"/>
        <v>0</v>
      </c>
      <c r="U43" s="426">
        <f t="shared" si="85"/>
        <v>0</v>
      </c>
      <c r="V43" s="426">
        <f t="shared" si="85"/>
        <v>0</v>
      </c>
      <c r="W43" s="426">
        <f t="shared" si="85"/>
        <v>0</v>
      </c>
      <c r="X43" s="416">
        <f>SUM(P43:T43)</f>
        <v>339354646</v>
      </c>
      <c r="Y43" s="405"/>
      <c r="Z43" s="1056">
        <f>D43-D52</f>
        <v>0</v>
      </c>
      <c r="AA43" s="947"/>
    </row>
    <row r="44" spans="1:27" ht="14.25" customHeight="1">
      <c r="A44" s="1762"/>
      <c r="B44" s="381" t="s">
        <v>34</v>
      </c>
      <c r="C44" s="382"/>
      <c r="D44" s="407">
        <f>+D45+D50</f>
        <v>709486814</v>
      </c>
      <c r="E44" s="407">
        <f t="shared" ref="E44:P44" si="86">+E45+E50</f>
        <v>0</v>
      </c>
      <c r="F44" s="407">
        <f t="shared" si="86"/>
        <v>0</v>
      </c>
      <c r="G44" s="407">
        <f t="shared" si="86"/>
        <v>0</v>
      </c>
      <c r="H44" s="407">
        <f t="shared" si="86"/>
        <v>0</v>
      </c>
      <c r="I44" s="407">
        <f t="shared" si="86"/>
        <v>0</v>
      </c>
      <c r="J44" s="407">
        <f t="shared" si="86"/>
        <v>22393724</v>
      </c>
      <c r="K44" s="407">
        <f t="shared" si="86"/>
        <v>60514876</v>
      </c>
      <c r="L44" s="407">
        <f t="shared" si="86"/>
        <v>64630063</v>
      </c>
      <c r="M44" s="407">
        <f t="shared" ref="M44" si="87">+M45+M50</f>
        <v>249331682</v>
      </c>
      <c r="N44" s="407">
        <f t="shared" si="86"/>
        <v>101793019</v>
      </c>
      <c r="O44" s="407">
        <f t="shared" si="86"/>
        <v>83844322</v>
      </c>
      <c r="P44" s="407">
        <f t="shared" si="86"/>
        <v>101781478</v>
      </c>
      <c r="Q44" s="407">
        <f>+Q45+Q50</f>
        <v>169210047</v>
      </c>
      <c r="R44" s="407">
        <f>+R45+R50</f>
        <v>105319285</v>
      </c>
      <c r="S44" s="407">
        <f t="shared" ref="S44:T44" si="88">+S45+S50</f>
        <v>0</v>
      </c>
      <c r="T44" s="407">
        <f t="shared" si="88"/>
        <v>0</v>
      </c>
      <c r="U44" s="407">
        <f t="shared" ref="U44:V44" si="89">+U45+U50</f>
        <v>0</v>
      </c>
      <c r="V44" s="407">
        <f t="shared" si="89"/>
        <v>0</v>
      </c>
      <c r="W44" s="407">
        <f t="shared" ref="W44" si="90">+W45+W50</f>
        <v>0</v>
      </c>
      <c r="X44" s="427"/>
      <c r="Y44" s="417"/>
    </row>
    <row r="45" spans="1:27" ht="12.75" customHeight="1">
      <c r="A45" s="1762"/>
      <c r="B45" s="428" t="s">
        <v>36</v>
      </c>
      <c r="C45" s="429"/>
      <c r="D45" s="430">
        <f>+D46+D47+D48+D49</f>
        <v>73123025</v>
      </c>
      <c r="E45" s="430">
        <f t="shared" ref="E45:W45" si="91">+E46+E47+E48+E49</f>
        <v>0</v>
      </c>
      <c r="F45" s="430">
        <f t="shared" si="91"/>
        <v>0</v>
      </c>
      <c r="G45" s="430">
        <f t="shared" si="91"/>
        <v>0</v>
      </c>
      <c r="H45" s="430">
        <f t="shared" si="91"/>
        <v>0</v>
      </c>
      <c r="I45" s="430">
        <f t="shared" si="91"/>
        <v>0</v>
      </c>
      <c r="J45" s="430">
        <f t="shared" si="91"/>
        <v>16008762</v>
      </c>
      <c r="K45" s="430">
        <f t="shared" si="91"/>
        <v>12531068</v>
      </c>
      <c r="L45" s="430">
        <f t="shared" si="91"/>
        <v>5922766</v>
      </c>
      <c r="M45" s="430">
        <f t="shared" si="91"/>
        <v>47161176</v>
      </c>
      <c r="N45" s="430">
        <f t="shared" si="91"/>
        <v>12698580</v>
      </c>
      <c r="O45" s="430">
        <f t="shared" si="91"/>
        <v>703083</v>
      </c>
      <c r="P45" s="430">
        <f t="shared" si="91"/>
        <v>8420196</v>
      </c>
      <c r="Q45" s="430">
        <f t="shared" si="91"/>
        <v>8419285</v>
      </c>
      <c r="R45" s="430">
        <f t="shared" si="91"/>
        <v>8419285</v>
      </c>
      <c r="S45" s="430">
        <f t="shared" si="91"/>
        <v>0</v>
      </c>
      <c r="T45" s="430">
        <f t="shared" si="91"/>
        <v>0</v>
      </c>
      <c r="U45" s="430">
        <f t="shared" si="91"/>
        <v>0</v>
      </c>
      <c r="V45" s="430">
        <f t="shared" si="91"/>
        <v>0</v>
      </c>
      <c r="W45" s="430">
        <f t="shared" si="91"/>
        <v>0</v>
      </c>
      <c r="X45" s="1514"/>
      <c r="Y45" s="417"/>
      <c r="Z45" s="1056"/>
    </row>
    <row r="46" spans="1:27" ht="11.25" customHeight="1">
      <c r="A46" s="1762"/>
      <c r="B46" s="431" t="s">
        <v>27</v>
      </c>
      <c r="C46" s="432"/>
      <c r="D46" s="423">
        <f t="shared" ref="D46:W46" si="92">+D272+D322+D284+D141+D153+D234+D259+D93+D185</f>
        <v>8514464</v>
      </c>
      <c r="E46" s="423">
        <f t="shared" si="92"/>
        <v>0</v>
      </c>
      <c r="F46" s="423">
        <f t="shared" si="92"/>
        <v>0</v>
      </c>
      <c r="G46" s="423">
        <f t="shared" si="92"/>
        <v>0</v>
      </c>
      <c r="H46" s="423">
        <f t="shared" si="92"/>
        <v>0</v>
      </c>
      <c r="I46" s="423">
        <f t="shared" si="92"/>
        <v>0</v>
      </c>
      <c r="J46" s="423">
        <f t="shared" si="92"/>
        <v>2000000</v>
      </c>
      <c r="K46" s="423">
        <f t="shared" si="92"/>
        <v>3524600</v>
      </c>
      <c r="L46" s="423">
        <f t="shared" si="92"/>
        <v>1989864</v>
      </c>
      <c r="M46" s="423">
        <f t="shared" si="92"/>
        <v>8514464</v>
      </c>
      <c r="N46" s="423">
        <f t="shared" si="92"/>
        <v>1000000</v>
      </c>
      <c r="O46" s="423">
        <f t="shared" si="92"/>
        <v>0</v>
      </c>
      <c r="P46" s="423">
        <f t="shared" si="92"/>
        <v>0</v>
      </c>
      <c r="Q46" s="423">
        <f t="shared" si="92"/>
        <v>0</v>
      </c>
      <c r="R46" s="423">
        <f t="shared" si="92"/>
        <v>0</v>
      </c>
      <c r="S46" s="423">
        <f t="shared" si="92"/>
        <v>0</v>
      </c>
      <c r="T46" s="423">
        <f t="shared" si="92"/>
        <v>0</v>
      </c>
      <c r="U46" s="423">
        <f t="shared" si="92"/>
        <v>0</v>
      </c>
      <c r="V46" s="423">
        <f t="shared" si="92"/>
        <v>0</v>
      </c>
      <c r="W46" s="423">
        <f t="shared" si="92"/>
        <v>0</v>
      </c>
      <c r="X46" s="1514"/>
      <c r="Y46" s="417"/>
    </row>
    <row r="47" spans="1:27">
      <c r="A47" s="1762"/>
      <c r="B47" s="418" t="s">
        <v>29</v>
      </c>
      <c r="C47" s="432"/>
      <c r="D47" s="423">
        <f t="shared" ref="D47:W47" si="93">+D63+D233+D77+D258+D107+D92+D120</f>
        <v>29685689</v>
      </c>
      <c r="E47" s="423">
        <f t="shared" si="93"/>
        <v>0</v>
      </c>
      <c r="F47" s="423">
        <f t="shared" si="93"/>
        <v>0</v>
      </c>
      <c r="G47" s="423">
        <f t="shared" si="93"/>
        <v>0</v>
      </c>
      <c r="H47" s="423">
        <f t="shared" si="93"/>
        <v>0</v>
      </c>
      <c r="I47" s="423">
        <f t="shared" si="93"/>
        <v>0</v>
      </c>
      <c r="J47" s="423">
        <f t="shared" si="93"/>
        <v>14008762</v>
      </c>
      <c r="K47" s="423">
        <f t="shared" si="93"/>
        <v>9006468</v>
      </c>
      <c r="L47" s="423">
        <f t="shared" si="93"/>
        <v>3091421</v>
      </c>
      <c r="M47" s="423">
        <f t="shared" si="93"/>
        <v>28981695</v>
      </c>
      <c r="N47" s="423">
        <f t="shared" si="93"/>
        <v>2875044</v>
      </c>
      <c r="O47" s="423">
        <f t="shared" si="93"/>
        <v>703083</v>
      </c>
      <c r="P47" s="423">
        <f t="shared" si="93"/>
        <v>911</v>
      </c>
      <c r="Q47" s="423">
        <f t="shared" si="93"/>
        <v>0</v>
      </c>
      <c r="R47" s="423">
        <f t="shared" si="93"/>
        <v>0</v>
      </c>
      <c r="S47" s="423">
        <f t="shared" si="93"/>
        <v>0</v>
      </c>
      <c r="T47" s="423">
        <f t="shared" si="93"/>
        <v>0</v>
      </c>
      <c r="U47" s="423">
        <f t="shared" si="93"/>
        <v>0</v>
      </c>
      <c r="V47" s="423">
        <f t="shared" si="93"/>
        <v>0</v>
      </c>
      <c r="W47" s="423">
        <f t="shared" si="93"/>
        <v>0</v>
      </c>
      <c r="X47" s="1514"/>
      <c r="Y47" s="417"/>
    </row>
    <row r="48" spans="1:27">
      <c r="A48" s="1762"/>
      <c r="B48" s="418" t="s">
        <v>38</v>
      </c>
      <c r="C48" s="432"/>
      <c r="D48" s="423">
        <f>+D164</f>
        <v>841481</v>
      </c>
      <c r="E48" s="423">
        <f t="shared" ref="E48:P48" si="94">+E164</f>
        <v>0</v>
      </c>
      <c r="F48" s="423">
        <f t="shared" si="94"/>
        <v>0</v>
      </c>
      <c r="G48" s="423">
        <f t="shared" si="94"/>
        <v>0</v>
      </c>
      <c r="H48" s="423">
        <f t="shared" si="94"/>
        <v>0</v>
      </c>
      <c r="I48" s="423">
        <f t="shared" si="94"/>
        <v>0</v>
      </c>
      <c r="J48" s="423">
        <f t="shared" si="94"/>
        <v>0</v>
      </c>
      <c r="K48" s="423">
        <f t="shared" si="94"/>
        <v>0</v>
      </c>
      <c r="L48" s="423">
        <f>+L164</f>
        <v>841481</v>
      </c>
      <c r="M48" s="423">
        <f>+M164</f>
        <v>841481</v>
      </c>
      <c r="N48" s="423">
        <f t="shared" si="94"/>
        <v>0</v>
      </c>
      <c r="O48" s="423">
        <f t="shared" si="94"/>
        <v>0</v>
      </c>
      <c r="P48" s="423">
        <f t="shared" si="94"/>
        <v>0</v>
      </c>
      <c r="Q48" s="423">
        <f>+Q164</f>
        <v>0</v>
      </c>
      <c r="R48" s="423">
        <f>+R164</f>
        <v>0</v>
      </c>
      <c r="S48" s="423">
        <f t="shared" ref="S48:T48" si="95">+S164</f>
        <v>0</v>
      </c>
      <c r="T48" s="423">
        <f t="shared" si="95"/>
        <v>0</v>
      </c>
      <c r="U48" s="423">
        <f t="shared" ref="U48:V48" si="96">+U164</f>
        <v>0</v>
      </c>
      <c r="V48" s="423">
        <f t="shared" si="96"/>
        <v>0</v>
      </c>
      <c r="W48" s="423">
        <f t="shared" ref="W48" si="97">+W164</f>
        <v>0</v>
      </c>
      <c r="X48" s="1514"/>
      <c r="Y48" s="417"/>
    </row>
    <row r="49" spans="1:26">
      <c r="A49" s="1943"/>
      <c r="B49" s="418" t="s">
        <v>68</v>
      </c>
      <c r="C49" s="432"/>
      <c r="D49" s="2269">
        <f>D296+D308+D321</f>
        <v>34081391</v>
      </c>
      <c r="E49" s="2269">
        <f t="shared" ref="E49:W49" si="98">E296+E308+E321</f>
        <v>0</v>
      </c>
      <c r="F49" s="2269">
        <f t="shared" si="98"/>
        <v>0</v>
      </c>
      <c r="G49" s="2269">
        <f t="shared" si="98"/>
        <v>0</v>
      </c>
      <c r="H49" s="2269">
        <f t="shared" si="98"/>
        <v>0</v>
      </c>
      <c r="I49" s="2269">
        <f t="shared" si="98"/>
        <v>0</v>
      </c>
      <c r="J49" s="2269">
        <f t="shared" si="98"/>
        <v>0</v>
      </c>
      <c r="K49" s="2269">
        <f t="shared" si="98"/>
        <v>0</v>
      </c>
      <c r="L49" s="2269">
        <f t="shared" si="98"/>
        <v>0</v>
      </c>
      <c r="M49" s="2269">
        <f t="shared" si="98"/>
        <v>8823536</v>
      </c>
      <c r="N49" s="2269">
        <f t="shared" si="98"/>
        <v>8823536</v>
      </c>
      <c r="O49" s="2269">
        <f t="shared" si="98"/>
        <v>0</v>
      </c>
      <c r="P49" s="2269">
        <f t="shared" si="98"/>
        <v>8419285</v>
      </c>
      <c r="Q49" s="2269">
        <f t="shared" si="98"/>
        <v>8419285</v>
      </c>
      <c r="R49" s="2269">
        <f t="shared" si="98"/>
        <v>8419285</v>
      </c>
      <c r="S49" s="2269">
        <f t="shared" si="98"/>
        <v>0</v>
      </c>
      <c r="T49" s="2269">
        <f t="shared" si="98"/>
        <v>0</v>
      </c>
      <c r="U49" s="2269">
        <f t="shared" si="98"/>
        <v>0</v>
      </c>
      <c r="V49" s="2269">
        <f t="shared" si="98"/>
        <v>0</v>
      </c>
      <c r="W49" s="2269">
        <f t="shared" si="98"/>
        <v>0</v>
      </c>
      <c r="X49" s="1514"/>
      <c r="Y49" s="417"/>
    </row>
    <row r="50" spans="1:26" ht="12" customHeight="1">
      <c r="A50" s="1762"/>
      <c r="B50" s="433" t="s">
        <v>30</v>
      </c>
      <c r="C50" s="434"/>
      <c r="D50" s="435">
        <f>+D51+D52</f>
        <v>636363789</v>
      </c>
      <c r="E50" s="435">
        <f t="shared" ref="E50:P50" si="99">+E51+E52</f>
        <v>0</v>
      </c>
      <c r="F50" s="435">
        <f t="shared" si="99"/>
        <v>0</v>
      </c>
      <c r="G50" s="435">
        <f t="shared" si="99"/>
        <v>0</v>
      </c>
      <c r="H50" s="435">
        <f t="shared" si="99"/>
        <v>0</v>
      </c>
      <c r="I50" s="435">
        <f t="shared" si="99"/>
        <v>0</v>
      </c>
      <c r="J50" s="435">
        <f t="shared" si="99"/>
        <v>6384962</v>
      </c>
      <c r="K50" s="435">
        <f t="shared" si="99"/>
        <v>47983808</v>
      </c>
      <c r="L50" s="435">
        <f t="shared" si="99"/>
        <v>58707297</v>
      </c>
      <c r="M50" s="435">
        <f t="shared" ref="M50" si="100">+M51+M52</f>
        <v>202170506</v>
      </c>
      <c r="N50" s="435">
        <f t="shared" si="99"/>
        <v>89094439</v>
      </c>
      <c r="O50" s="435">
        <f t="shared" si="99"/>
        <v>83141239</v>
      </c>
      <c r="P50" s="435">
        <f t="shared" si="99"/>
        <v>93361282</v>
      </c>
      <c r="Q50" s="435">
        <f>+Q51+Q52</f>
        <v>160790762</v>
      </c>
      <c r="R50" s="435">
        <f>+R51+R52</f>
        <v>96900000</v>
      </c>
      <c r="S50" s="435">
        <f t="shared" ref="S50:T50" si="101">+S51+S52</f>
        <v>0</v>
      </c>
      <c r="T50" s="435">
        <f t="shared" si="101"/>
        <v>0</v>
      </c>
      <c r="U50" s="435">
        <f t="shared" ref="U50:V50" si="102">+U51+U52</f>
        <v>0</v>
      </c>
      <c r="V50" s="435">
        <f t="shared" si="102"/>
        <v>0</v>
      </c>
      <c r="W50" s="435">
        <f t="shared" ref="W50" si="103">+W51+W52</f>
        <v>0</v>
      </c>
      <c r="X50" s="1514"/>
      <c r="Y50" s="417"/>
    </row>
    <row r="51" spans="1:26" ht="12" hidden="1" customHeight="1">
      <c r="A51" s="1762"/>
      <c r="B51" s="418" t="s">
        <v>29</v>
      </c>
      <c r="C51" s="419"/>
      <c r="D51" s="423">
        <f t="shared" ref="D51:W51" si="104">+D65+D236+D79+D95+D261+D109</f>
        <v>0</v>
      </c>
      <c r="E51" s="423">
        <f t="shared" si="104"/>
        <v>0</v>
      </c>
      <c r="F51" s="423">
        <f t="shared" si="104"/>
        <v>0</v>
      </c>
      <c r="G51" s="423">
        <f t="shared" si="104"/>
        <v>0</v>
      </c>
      <c r="H51" s="423">
        <f t="shared" si="104"/>
        <v>0</v>
      </c>
      <c r="I51" s="423">
        <f t="shared" si="104"/>
        <v>0</v>
      </c>
      <c r="J51" s="423">
        <f t="shared" si="104"/>
        <v>0</v>
      </c>
      <c r="K51" s="423">
        <f t="shared" si="104"/>
        <v>0</v>
      </c>
      <c r="L51" s="423">
        <f t="shared" si="104"/>
        <v>0</v>
      </c>
      <c r="M51" s="423">
        <f t="shared" si="104"/>
        <v>0</v>
      </c>
      <c r="N51" s="423">
        <f t="shared" si="104"/>
        <v>0</v>
      </c>
      <c r="O51" s="423">
        <f t="shared" si="104"/>
        <v>0</v>
      </c>
      <c r="P51" s="423">
        <f t="shared" si="104"/>
        <v>0</v>
      </c>
      <c r="Q51" s="423">
        <f t="shared" si="104"/>
        <v>0</v>
      </c>
      <c r="R51" s="423">
        <f t="shared" si="104"/>
        <v>0</v>
      </c>
      <c r="S51" s="423">
        <f t="shared" si="104"/>
        <v>0</v>
      </c>
      <c r="T51" s="423">
        <f t="shared" si="104"/>
        <v>0</v>
      </c>
      <c r="U51" s="423">
        <f t="shared" si="104"/>
        <v>0</v>
      </c>
      <c r="V51" s="423">
        <f t="shared" si="104"/>
        <v>0</v>
      </c>
      <c r="W51" s="423">
        <f t="shared" si="104"/>
        <v>0</v>
      </c>
      <c r="X51" s="1514"/>
      <c r="Y51" s="417"/>
      <c r="Z51" s="1056"/>
    </row>
    <row r="52" spans="1:26" ht="12.75" customHeight="1" thickBot="1">
      <c r="A52" s="1414"/>
      <c r="B52" s="436" t="s">
        <v>33</v>
      </c>
      <c r="C52" s="437"/>
      <c r="D52" s="438">
        <f t="shared" ref="D52:W52" si="105">+D310+D274+D66+D237+D80+D324+D286+D131+D96+D143+D298++D155+D166+D175+D262+D110+D187+D122+D196+D205+D246+D212+D221</f>
        <v>636363789</v>
      </c>
      <c r="E52" s="438">
        <f t="shared" si="105"/>
        <v>0</v>
      </c>
      <c r="F52" s="438">
        <f t="shared" si="105"/>
        <v>0</v>
      </c>
      <c r="G52" s="438">
        <f t="shared" si="105"/>
        <v>0</v>
      </c>
      <c r="H52" s="438">
        <f t="shared" si="105"/>
        <v>0</v>
      </c>
      <c r="I52" s="438">
        <f t="shared" si="105"/>
        <v>0</v>
      </c>
      <c r="J52" s="438">
        <f t="shared" si="105"/>
        <v>6384962</v>
      </c>
      <c r="K52" s="438">
        <f t="shared" si="105"/>
        <v>47983808</v>
      </c>
      <c r="L52" s="438">
        <f t="shared" si="105"/>
        <v>58707297</v>
      </c>
      <c r="M52" s="438">
        <f t="shared" si="105"/>
        <v>202170506</v>
      </c>
      <c r="N52" s="438">
        <f t="shared" si="105"/>
        <v>89094439</v>
      </c>
      <c r="O52" s="438">
        <f t="shared" si="105"/>
        <v>83141239</v>
      </c>
      <c r="P52" s="438">
        <f t="shared" si="105"/>
        <v>93361282</v>
      </c>
      <c r="Q52" s="438">
        <f t="shared" si="105"/>
        <v>160790762</v>
      </c>
      <c r="R52" s="438">
        <f t="shared" si="105"/>
        <v>96900000</v>
      </c>
      <c r="S52" s="438">
        <f t="shared" si="105"/>
        <v>0</v>
      </c>
      <c r="T52" s="438">
        <f t="shared" si="105"/>
        <v>0</v>
      </c>
      <c r="U52" s="438">
        <f t="shared" si="105"/>
        <v>0</v>
      </c>
      <c r="V52" s="438">
        <f t="shared" si="105"/>
        <v>0</v>
      </c>
      <c r="W52" s="438">
        <f t="shared" si="105"/>
        <v>0</v>
      </c>
      <c r="X52" s="1515"/>
      <c r="Y52" s="439"/>
      <c r="Z52" s="1056"/>
    </row>
    <row r="53" spans="1:26" s="1230" customFormat="1" ht="25.5" customHeight="1">
      <c r="A53" s="4091" t="s">
        <v>79</v>
      </c>
      <c r="B53" s="2851" t="s">
        <v>577</v>
      </c>
      <c r="C53" s="480" t="s">
        <v>98</v>
      </c>
      <c r="D53" s="442"/>
      <c r="E53" s="443"/>
      <c r="F53" s="444"/>
      <c r="G53" s="443"/>
      <c r="H53" s="443"/>
      <c r="I53" s="443"/>
      <c r="J53" s="443"/>
      <c r="K53" s="443"/>
      <c r="L53" s="443"/>
      <c r="M53" s="445"/>
      <c r="N53" s="445"/>
      <c r="O53" s="445"/>
      <c r="P53" s="445"/>
      <c r="Q53" s="445"/>
      <c r="R53" s="445"/>
      <c r="S53" s="445"/>
      <c r="T53" s="445"/>
      <c r="U53" s="445"/>
      <c r="V53" s="445"/>
      <c r="W53" s="445"/>
      <c r="X53" s="446"/>
      <c r="Y53" s="447" t="s">
        <v>99</v>
      </c>
    </row>
    <row r="54" spans="1:26" s="1230" customFormat="1" ht="12" customHeight="1">
      <c r="A54" s="4071"/>
      <c r="B54" s="1795" t="s">
        <v>22</v>
      </c>
      <c r="C54" s="382"/>
      <c r="D54" s="448">
        <f t="shared" ref="D54:P54" si="106">+D55+D58</f>
        <v>24345751</v>
      </c>
      <c r="E54" s="449">
        <f t="shared" si="106"/>
        <v>186148</v>
      </c>
      <c r="F54" s="449">
        <f t="shared" si="106"/>
        <v>0</v>
      </c>
      <c r="G54" s="449">
        <f t="shared" si="106"/>
        <v>30153</v>
      </c>
      <c r="H54" s="449">
        <f t="shared" si="106"/>
        <v>155995</v>
      </c>
      <c r="I54" s="449">
        <f t="shared" si="106"/>
        <v>298000</v>
      </c>
      <c r="J54" s="449">
        <f t="shared" si="106"/>
        <v>9153555</v>
      </c>
      <c r="K54" s="449">
        <f t="shared" si="106"/>
        <v>14695972</v>
      </c>
      <c r="L54" s="449">
        <f t="shared" si="106"/>
        <v>575</v>
      </c>
      <c r="M54" s="449">
        <f t="shared" ref="M54" si="107">+M55+M58</f>
        <v>24343991</v>
      </c>
      <c r="N54" s="449">
        <f t="shared" si="106"/>
        <v>9741</v>
      </c>
      <c r="O54" s="2732">
        <f t="shared" si="106"/>
        <v>1760</v>
      </c>
      <c r="P54" s="450">
        <f t="shared" si="106"/>
        <v>0</v>
      </c>
      <c r="Q54" s="450"/>
      <c r="R54" s="450"/>
      <c r="S54" s="450"/>
      <c r="T54" s="450"/>
      <c r="U54" s="450"/>
      <c r="V54" s="450"/>
      <c r="W54" s="450"/>
      <c r="X54" s="451">
        <f>+X55+X58</f>
        <v>0</v>
      </c>
      <c r="Y54" s="3901" t="s">
        <v>100</v>
      </c>
      <c r="Z54" s="1229">
        <f>+O54+P54</f>
        <v>1760</v>
      </c>
    </row>
    <row r="55" spans="1:26" s="1230" customFormat="1" ht="12" customHeight="1">
      <c r="A55" s="4071"/>
      <c r="B55" s="2288" t="s">
        <v>36</v>
      </c>
      <c r="C55" s="4129" t="s">
        <v>101</v>
      </c>
      <c r="D55" s="453">
        <f>+D56+D57</f>
        <v>12792193</v>
      </c>
      <c r="E55" s="453">
        <f t="shared" ref="E55:P55" si="108">+E56+E57</f>
        <v>186148</v>
      </c>
      <c r="F55" s="453">
        <f t="shared" si="108"/>
        <v>0</v>
      </c>
      <c r="G55" s="453">
        <f t="shared" si="108"/>
        <v>30153</v>
      </c>
      <c r="H55" s="453">
        <f t="shared" si="108"/>
        <v>155995</v>
      </c>
      <c r="I55" s="453">
        <f t="shared" si="108"/>
        <v>298000</v>
      </c>
      <c r="J55" s="453">
        <f t="shared" si="108"/>
        <v>8789410</v>
      </c>
      <c r="K55" s="453">
        <f t="shared" si="108"/>
        <v>3506559</v>
      </c>
      <c r="L55" s="453">
        <f t="shared" si="108"/>
        <v>575</v>
      </c>
      <c r="M55" s="453">
        <f t="shared" ref="M55" si="109">+M56+M57</f>
        <v>12790433</v>
      </c>
      <c r="N55" s="453">
        <f t="shared" si="108"/>
        <v>9741</v>
      </c>
      <c r="O55" s="2860">
        <f t="shared" si="108"/>
        <v>1760</v>
      </c>
      <c r="P55" s="453">
        <f t="shared" si="108"/>
        <v>0</v>
      </c>
      <c r="Q55" s="453"/>
      <c r="R55" s="453"/>
      <c r="S55" s="453"/>
      <c r="T55" s="453"/>
      <c r="U55" s="453"/>
      <c r="V55" s="453"/>
      <c r="W55" s="453"/>
      <c r="X55" s="454">
        <f>+X56+X57</f>
        <v>0</v>
      </c>
      <c r="Y55" s="3901"/>
    </row>
    <row r="56" spans="1:26" s="1230" customFormat="1" ht="12" customHeight="1">
      <c r="A56" s="4071"/>
      <c r="B56" s="2289" t="s">
        <v>24</v>
      </c>
      <c r="C56" s="4136"/>
      <c r="D56" s="456">
        <f>M56+O56+P56+Q56+R56+S56+T56+U56+V56+W56</f>
        <v>1238635</v>
      </c>
      <c r="E56" s="456">
        <v>0</v>
      </c>
      <c r="F56" s="456"/>
      <c r="G56" s="456"/>
      <c r="H56" s="456"/>
      <c r="I56" s="456">
        <v>0</v>
      </c>
      <c r="J56" s="456">
        <v>6548</v>
      </c>
      <c r="K56" s="456">
        <v>1220011</v>
      </c>
      <c r="L56" s="457">
        <f>45000-44000-425</f>
        <v>575</v>
      </c>
      <c r="M56" s="457">
        <f>+E56+I56+J56+K56+L56+N56</f>
        <v>1236875</v>
      </c>
      <c r="N56" s="457">
        <f>60000-40000-10259</f>
        <v>9741</v>
      </c>
      <c r="O56" s="2861">
        <f>10259-8499</f>
        <v>1760</v>
      </c>
      <c r="P56" s="457">
        <v>0</v>
      </c>
      <c r="Q56" s="457"/>
      <c r="R56" s="457"/>
      <c r="S56" s="457"/>
      <c r="T56" s="457"/>
      <c r="U56" s="457"/>
      <c r="V56" s="457"/>
      <c r="W56" s="457"/>
      <c r="X56" s="416">
        <f>SUM(P56:T56)</f>
        <v>0</v>
      </c>
      <c r="Y56" s="3901"/>
    </row>
    <row r="57" spans="1:26" s="1230" customFormat="1" ht="12" customHeight="1">
      <c r="A57" s="4071"/>
      <c r="B57" s="455" t="s">
        <v>29</v>
      </c>
      <c r="C57" s="4136"/>
      <c r="D57" s="456">
        <f>M57+O57+P57+Q57+R57+S57+T57+U57+V57+W57</f>
        <v>11553558</v>
      </c>
      <c r="E57" s="461">
        <f>+F57+G57+H57</f>
        <v>186148</v>
      </c>
      <c r="F57" s="462">
        <v>0</v>
      </c>
      <c r="G57" s="461">
        <f>15076.5+15076.5</f>
        <v>30153</v>
      </c>
      <c r="H57" s="461">
        <f>77997.5+77997.5</f>
        <v>155995</v>
      </c>
      <c r="I57" s="461">
        <f>149000+149000</f>
        <v>298000</v>
      </c>
      <c r="J57" s="461">
        <v>8782862</v>
      </c>
      <c r="K57" s="461">
        <v>2286548</v>
      </c>
      <c r="L57" s="463">
        <v>0</v>
      </c>
      <c r="M57" s="457">
        <f>+E57+I57+J57+K57+L57+N57</f>
        <v>11553558</v>
      </c>
      <c r="N57" s="463">
        <v>0</v>
      </c>
      <c r="O57" s="463">
        <v>0</v>
      </c>
      <c r="P57" s="463">
        <v>0</v>
      </c>
      <c r="Q57" s="464"/>
      <c r="R57" s="464"/>
      <c r="S57" s="464"/>
      <c r="T57" s="464"/>
      <c r="U57" s="464"/>
      <c r="V57" s="464"/>
      <c r="W57" s="464"/>
      <c r="X57" s="416">
        <f>SUM(P57:T57)</f>
        <v>0</v>
      </c>
      <c r="Y57" s="3901"/>
    </row>
    <row r="58" spans="1:26" s="1230" customFormat="1" ht="12" customHeight="1">
      <c r="A58" s="4071"/>
      <c r="B58" s="465" t="s">
        <v>30</v>
      </c>
      <c r="C58" s="4136"/>
      <c r="D58" s="466">
        <f>+D60+D59</f>
        <v>11553558</v>
      </c>
      <c r="E58" s="467">
        <f>+E60+E59</f>
        <v>0</v>
      </c>
      <c r="F58" s="467">
        <f>+F60+F59</f>
        <v>0</v>
      </c>
      <c r="G58" s="467">
        <f>+G59+G60</f>
        <v>0</v>
      </c>
      <c r="H58" s="467">
        <f>+H59+H60</f>
        <v>0</v>
      </c>
      <c r="I58" s="467">
        <f t="shared" ref="I58:P58" si="110">+I59+I60</f>
        <v>0</v>
      </c>
      <c r="J58" s="467">
        <f t="shared" si="110"/>
        <v>364145</v>
      </c>
      <c r="K58" s="467">
        <f t="shared" si="110"/>
        <v>11189413</v>
      </c>
      <c r="L58" s="467">
        <f t="shared" si="110"/>
        <v>0</v>
      </c>
      <c r="M58" s="467">
        <f t="shared" si="110"/>
        <v>11553558</v>
      </c>
      <c r="N58" s="467">
        <f t="shared" si="110"/>
        <v>0</v>
      </c>
      <c r="O58" s="467">
        <f t="shared" si="110"/>
        <v>0</v>
      </c>
      <c r="P58" s="467">
        <f t="shared" si="110"/>
        <v>0</v>
      </c>
      <c r="Q58" s="467"/>
      <c r="R58" s="467"/>
      <c r="S58" s="467"/>
      <c r="T58" s="467"/>
      <c r="U58" s="467"/>
      <c r="V58" s="467"/>
      <c r="W58" s="467"/>
      <c r="X58" s="468">
        <f>+X60+X59</f>
        <v>0</v>
      </c>
      <c r="Y58" s="3901"/>
    </row>
    <row r="59" spans="1:26" s="1230" customFormat="1" ht="12" hidden="1" customHeight="1">
      <c r="A59" s="4071"/>
      <c r="B59" s="455" t="s">
        <v>29</v>
      </c>
      <c r="C59" s="1075"/>
      <c r="D59" s="460">
        <f>+E59+I59+J59+K59+L59</f>
        <v>0</v>
      </c>
      <c r="E59" s="461">
        <f>+F59+G59+H59</f>
        <v>0</v>
      </c>
      <c r="F59" s="462">
        <v>0</v>
      </c>
      <c r="G59" s="461"/>
      <c r="H59" s="461"/>
      <c r="I59" s="461">
        <v>0</v>
      </c>
      <c r="J59" s="461">
        <v>0</v>
      </c>
      <c r="K59" s="461">
        <v>0</v>
      </c>
      <c r="L59" s="461"/>
      <c r="M59" s="461"/>
      <c r="N59" s="461">
        <v>0</v>
      </c>
      <c r="O59" s="461">
        <v>0</v>
      </c>
      <c r="P59" s="461">
        <v>0</v>
      </c>
      <c r="Q59" s="469"/>
      <c r="R59" s="469"/>
      <c r="S59" s="469"/>
      <c r="T59" s="469"/>
      <c r="U59" s="469"/>
      <c r="V59" s="469"/>
      <c r="W59" s="469"/>
      <c r="X59" s="459"/>
      <c r="Y59" s="3901"/>
    </row>
    <row r="60" spans="1:26" s="1230" customFormat="1" ht="12" customHeight="1">
      <c r="A60" s="4071"/>
      <c r="B60" s="534" t="s">
        <v>33</v>
      </c>
      <c r="C60" s="1280"/>
      <c r="D60" s="1648">
        <f>M60+O60+P60+Q60+R60+S60+T60+U60+V60+W60</f>
        <v>11553558</v>
      </c>
      <c r="E60" s="463">
        <f>+F60+G60+H60</f>
        <v>0</v>
      </c>
      <c r="F60" s="464">
        <v>0</v>
      </c>
      <c r="G60" s="463">
        <f>15076.5-15076.5</f>
        <v>0</v>
      </c>
      <c r="H60" s="463">
        <f>77997.5-77997.5</f>
        <v>0</v>
      </c>
      <c r="I60" s="463">
        <f>149000-149000</f>
        <v>0</v>
      </c>
      <c r="J60" s="463">
        <v>364145</v>
      </c>
      <c r="K60" s="463">
        <v>11189413</v>
      </c>
      <c r="L60" s="463"/>
      <c r="M60" s="457">
        <f>+E60+I60+J60+K60+L60+N60</f>
        <v>11553558</v>
      </c>
      <c r="N60" s="463">
        <v>0</v>
      </c>
      <c r="O60" s="463">
        <v>0</v>
      </c>
      <c r="P60" s="463">
        <v>0</v>
      </c>
      <c r="Q60" s="464"/>
      <c r="R60" s="464"/>
      <c r="S60" s="464"/>
      <c r="T60" s="464"/>
      <c r="U60" s="464"/>
      <c r="V60" s="464"/>
      <c r="W60" s="464"/>
      <c r="X60" s="416">
        <f>SUM(P60:T60)</f>
        <v>0</v>
      </c>
      <c r="Y60" s="4073"/>
    </row>
    <row r="61" spans="1:26" s="1230" customFormat="1" ht="12" customHeight="1">
      <c r="A61" s="4071"/>
      <c r="B61" s="524" t="s">
        <v>34</v>
      </c>
      <c r="C61" s="545"/>
      <c r="D61" s="546">
        <f t="shared" ref="D61:P61" si="111">+D64+D62</f>
        <v>23107116</v>
      </c>
      <c r="E61" s="546">
        <f t="shared" si="111"/>
        <v>0</v>
      </c>
      <c r="F61" s="546">
        <f t="shared" si="111"/>
        <v>0</v>
      </c>
      <c r="G61" s="546">
        <f t="shared" si="111"/>
        <v>0</v>
      </c>
      <c r="H61" s="546">
        <f t="shared" si="111"/>
        <v>0</v>
      </c>
      <c r="I61" s="546">
        <f t="shared" si="111"/>
        <v>0</v>
      </c>
      <c r="J61" s="546">
        <f t="shared" si="111"/>
        <v>6768575</v>
      </c>
      <c r="K61" s="546">
        <f t="shared" si="111"/>
        <v>11377726</v>
      </c>
      <c r="L61" s="546">
        <f t="shared" si="111"/>
        <v>4960815</v>
      </c>
      <c r="M61" s="546">
        <f t="shared" ref="M61" si="112">+M64+M62</f>
        <v>23107116</v>
      </c>
      <c r="N61" s="546">
        <f t="shared" si="111"/>
        <v>0</v>
      </c>
      <c r="O61" s="546">
        <f t="shared" si="111"/>
        <v>0</v>
      </c>
      <c r="P61" s="546">
        <f t="shared" si="111"/>
        <v>0</v>
      </c>
      <c r="Q61" s="546"/>
      <c r="R61" s="546"/>
      <c r="S61" s="546"/>
      <c r="T61" s="546"/>
      <c r="U61" s="546"/>
      <c r="V61" s="546"/>
      <c r="W61" s="546"/>
      <c r="X61" s="4003" t="s">
        <v>35</v>
      </c>
      <c r="Y61" s="4149" t="s">
        <v>415</v>
      </c>
    </row>
    <row r="62" spans="1:26" s="1230" customFormat="1" ht="12" customHeight="1">
      <c r="A62" s="4071"/>
      <c r="B62" s="452" t="s">
        <v>36</v>
      </c>
      <c r="C62" s="4129" t="s">
        <v>102</v>
      </c>
      <c r="D62" s="472">
        <f>+D63</f>
        <v>11553558</v>
      </c>
      <c r="E62" s="472">
        <f t="shared" ref="E62:P62" si="113">+E63</f>
        <v>0</v>
      </c>
      <c r="F62" s="472">
        <f t="shared" si="113"/>
        <v>0</v>
      </c>
      <c r="G62" s="472">
        <f t="shared" si="113"/>
        <v>0</v>
      </c>
      <c r="H62" s="472">
        <f t="shared" si="113"/>
        <v>0</v>
      </c>
      <c r="I62" s="472">
        <f t="shared" si="113"/>
        <v>0</v>
      </c>
      <c r="J62" s="472">
        <f t="shared" si="113"/>
        <v>6768575</v>
      </c>
      <c r="K62" s="472">
        <f t="shared" si="113"/>
        <v>2504336</v>
      </c>
      <c r="L62" s="472">
        <f t="shared" si="113"/>
        <v>2280647</v>
      </c>
      <c r="M62" s="472">
        <f t="shared" si="113"/>
        <v>11553558</v>
      </c>
      <c r="N62" s="472">
        <f t="shared" si="113"/>
        <v>0</v>
      </c>
      <c r="O62" s="472">
        <f t="shared" si="113"/>
        <v>0</v>
      </c>
      <c r="P62" s="472">
        <f t="shared" si="113"/>
        <v>0</v>
      </c>
      <c r="Q62" s="472"/>
      <c r="R62" s="472"/>
      <c r="S62" s="472"/>
      <c r="T62" s="472"/>
      <c r="U62" s="472"/>
      <c r="V62" s="472"/>
      <c r="W62" s="472"/>
      <c r="X62" s="4003"/>
      <c r="Y62" s="4124"/>
    </row>
    <row r="63" spans="1:26" s="1230" customFormat="1" ht="12" customHeight="1">
      <c r="A63" s="4071"/>
      <c r="B63" s="455" t="s">
        <v>29</v>
      </c>
      <c r="C63" s="4136"/>
      <c r="D63" s="456">
        <f>M63+O63+P63+Q63+R63+S63+T63+U63+V63+W63</f>
        <v>11553558</v>
      </c>
      <c r="E63" s="474"/>
      <c r="F63" s="474"/>
      <c r="G63" s="474"/>
      <c r="H63" s="474"/>
      <c r="I63" s="474"/>
      <c r="J63" s="463">
        <v>6768575</v>
      </c>
      <c r="K63" s="463">
        <v>2504336</v>
      </c>
      <c r="L63" s="474">
        <f>2288218-461-7110</f>
        <v>2280647</v>
      </c>
      <c r="M63" s="457">
        <f>+E63+I63+J63+K63+L63+N63</f>
        <v>11553558</v>
      </c>
      <c r="N63" s="474"/>
      <c r="O63" s="474"/>
      <c r="P63" s="474"/>
      <c r="Q63" s="474"/>
      <c r="R63" s="474"/>
      <c r="S63" s="474"/>
      <c r="T63" s="474"/>
      <c r="U63" s="474"/>
      <c r="V63" s="474"/>
      <c r="W63" s="474"/>
      <c r="X63" s="4003"/>
      <c r="Y63" s="4124"/>
    </row>
    <row r="64" spans="1:26" s="1230" customFormat="1" ht="12" customHeight="1">
      <c r="A64" s="4071"/>
      <c r="B64" s="465" t="s">
        <v>30</v>
      </c>
      <c r="C64" s="4136"/>
      <c r="D64" s="466">
        <f>+D66+D65</f>
        <v>11553558</v>
      </c>
      <c r="E64" s="466">
        <f t="shared" ref="E64:P64" si="114">+E66+E65</f>
        <v>0</v>
      </c>
      <c r="F64" s="466">
        <f t="shared" si="114"/>
        <v>0</v>
      </c>
      <c r="G64" s="466">
        <f t="shared" si="114"/>
        <v>0</v>
      </c>
      <c r="H64" s="466">
        <f t="shared" si="114"/>
        <v>0</v>
      </c>
      <c r="I64" s="466">
        <f t="shared" si="114"/>
        <v>0</v>
      </c>
      <c r="J64" s="466">
        <f t="shared" si="114"/>
        <v>0</v>
      </c>
      <c r="K64" s="466">
        <f t="shared" si="114"/>
        <v>8873390</v>
      </c>
      <c r="L64" s="466">
        <f t="shared" si="114"/>
        <v>2680168</v>
      </c>
      <c r="M64" s="466">
        <f t="shared" si="114"/>
        <v>11553558</v>
      </c>
      <c r="N64" s="466">
        <f t="shared" si="114"/>
        <v>0</v>
      </c>
      <c r="O64" s="466">
        <f t="shared" si="114"/>
        <v>0</v>
      </c>
      <c r="P64" s="466">
        <f t="shared" si="114"/>
        <v>0</v>
      </c>
      <c r="Q64" s="466"/>
      <c r="R64" s="466"/>
      <c r="S64" s="466"/>
      <c r="T64" s="466"/>
      <c r="U64" s="466"/>
      <c r="V64" s="466"/>
      <c r="W64" s="466"/>
      <c r="X64" s="4003"/>
      <c r="Y64" s="4124"/>
    </row>
    <row r="65" spans="1:26" s="1230" customFormat="1" ht="15" hidden="1" customHeight="1">
      <c r="A65" s="4071"/>
      <c r="B65" s="455" t="s">
        <v>29</v>
      </c>
      <c r="C65" s="4136"/>
      <c r="D65" s="474">
        <f>+E65+I65+J65+K65+L65</f>
        <v>0</v>
      </c>
      <c r="E65" s="463">
        <v>0</v>
      </c>
      <c r="F65" s="464"/>
      <c r="G65" s="463"/>
      <c r="H65" s="463"/>
      <c r="I65" s="463">
        <v>0</v>
      </c>
      <c r="J65" s="463">
        <v>0</v>
      </c>
      <c r="K65" s="463">
        <v>0</v>
      </c>
      <c r="L65" s="463">
        <v>0</v>
      </c>
      <c r="M65" s="463"/>
      <c r="N65" s="463">
        <v>0</v>
      </c>
      <c r="O65" s="463">
        <v>0</v>
      </c>
      <c r="P65" s="463">
        <v>0</v>
      </c>
      <c r="Q65" s="463"/>
      <c r="R65" s="463"/>
      <c r="S65" s="463"/>
      <c r="T65" s="463"/>
      <c r="U65" s="463"/>
      <c r="V65" s="463"/>
      <c r="W65" s="463"/>
      <c r="X65" s="4003"/>
      <c r="Y65" s="4124"/>
    </row>
    <row r="66" spans="1:26" s="1230" customFormat="1" ht="12" customHeight="1" thickBot="1">
      <c r="A66" s="4072"/>
      <c r="B66" s="475" t="s">
        <v>33</v>
      </c>
      <c r="C66" s="4137"/>
      <c r="D66" s="456">
        <f>M66+O66+P66+Q66+R66+S66+T66+U66+V66+W66</f>
        <v>11553558</v>
      </c>
      <c r="E66" s="477">
        <f>+F66+G66+H66</f>
        <v>0</v>
      </c>
      <c r="F66" s="478">
        <v>0</v>
      </c>
      <c r="G66" s="477">
        <v>0</v>
      </c>
      <c r="H66" s="477">
        <v>0</v>
      </c>
      <c r="I66" s="477">
        <v>0</v>
      </c>
      <c r="J66" s="477">
        <v>0</v>
      </c>
      <c r="K66" s="477">
        <v>8873390</v>
      </c>
      <c r="L66" s="477">
        <f>2687739-462-7109</f>
        <v>2680168</v>
      </c>
      <c r="M66" s="457">
        <f>+E66+I66+J66+K66+L66+N66</f>
        <v>11553558</v>
      </c>
      <c r="N66" s="477">
        <v>0</v>
      </c>
      <c r="O66" s="477">
        <v>0</v>
      </c>
      <c r="P66" s="479">
        <v>0</v>
      </c>
      <c r="Q66" s="479"/>
      <c r="R66" s="479"/>
      <c r="S66" s="479"/>
      <c r="T66" s="479"/>
      <c r="U66" s="479"/>
      <c r="V66" s="479"/>
      <c r="W66" s="479"/>
      <c r="X66" s="4004"/>
      <c r="Y66" s="4125"/>
    </row>
    <row r="67" spans="1:26" s="1230" customFormat="1" ht="28.5" hidden="1" customHeight="1">
      <c r="A67" s="4091"/>
      <c r="B67" s="500"/>
      <c r="C67" s="480" t="s">
        <v>98</v>
      </c>
      <c r="D67" s="481"/>
      <c r="E67" s="483"/>
      <c r="F67" s="482"/>
      <c r="G67" s="483"/>
      <c r="H67" s="483"/>
      <c r="I67" s="443"/>
      <c r="J67" s="443"/>
      <c r="K67" s="443"/>
      <c r="L67" s="443"/>
      <c r="M67" s="445"/>
      <c r="N67" s="445"/>
      <c r="O67" s="445"/>
      <c r="P67" s="445"/>
      <c r="Q67" s="445"/>
      <c r="R67" s="443"/>
      <c r="S67" s="443"/>
      <c r="T67" s="444"/>
      <c r="U67" s="1144"/>
      <c r="V67" s="1144"/>
      <c r="W67" s="1144"/>
      <c r="X67" s="484"/>
      <c r="Y67" s="447"/>
    </row>
    <row r="68" spans="1:26" s="1230" customFormat="1" ht="12" hidden="1" customHeight="1">
      <c r="A68" s="4071"/>
      <c r="B68" s="506" t="s">
        <v>22</v>
      </c>
      <c r="C68" s="382"/>
      <c r="D68" s="485">
        <f>+D69+D72</f>
        <v>0</v>
      </c>
      <c r="E68" s="485">
        <f t="shared" ref="E68:O68" si="115">+E69+E72</f>
        <v>0</v>
      </c>
      <c r="F68" s="485">
        <f t="shared" si="115"/>
        <v>0</v>
      </c>
      <c r="G68" s="485">
        <f t="shared" si="115"/>
        <v>0</v>
      </c>
      <c r="H68" s="485">
        <f t="shared" si="115"/>
        <v>0</v>
      </c>
      <c r="I68" s="485">
        <f t="shared" si="115"/>
        <v>0</v>
      </c>
      <c r="J68" s="485">
        <f t="shared" si="115"/>
        <v>0</v>
      </c>
      <c r="K68" s="485">
        <f t="shared" si="115"/>
        <v>0</v>
      </c>
      <c r="L68" s="485">
        <f t="shared" si="115"/>
        <v>0</v>
      </c>
      <c r="M68" s="485">
        <f t="shared" ref="M68" si="116">+M69+M72</f>
        <v>0</v>
      </c>
      <c r="N68" s="485">
        <f t="shared" si="115"/>
        <v>0</v>
      </c>
      <c r="O68" s="485">
        <f t="shared" si="115"/>
        <v>0</v>
      </c>
      <c r="P68" s="485">
        <f>+P69+P72</f>
        <v>0</v>
      </c>
      <c r="Q68" s="485"/>
      <c r="R68" s="485"/>
      <c r="S68" s="485"/>
      <c r="T68" s="485"/>
      <c r="U68" s="1153"/>
      <c r="V68" s="1153"/>
      <c r="W68" s="1153"/>
      <c r="X68" s="548"/>
      <c r="Y68" s="3901" t="s">
        <v>100</v>
      </c>
      <c r="Z68" s="1229">
        <f>+O68+P68</f>
        <v>0</v>
      </c>
    </row>
    <row r="69" spans="1:26" s="1230" customFormat="1" ht="12" hidden="1" customHeight="1">
      <c r="A69" s="4071"/>
      <c r="B69" s="507" t="s">
        <v>36</v>
      </c>
      <c r="C69" s="4129" t="s">
        <v>101</v>
      </c>
      <c r="D69" s="488">
        <f>+D70+D71</f>
        <v>0</v>
      </c>
      <c r="E69" s="488">
        <f t="shared" ref="E69:P69" si="117">+E70+E71</f>
        <v>0</v>
      </c>
      <c r="F69" s="488">
        <f t="shared" si="117"/>
        <v>0</v>
      </c>
      <c r="G69" s="488">
        <f t="shared" si="117"/>
        <v>0</v>
      </c>
      <c r="H69" s="488">
        <f t="shared" si="117"/>
        <v>0</v>
      </c>
      <c r="I69" s="488">
        <f t="shared" si="117"/>
        <v>0</v>
      </c>
      <c r="J69" s="488">
        <f t="shared" si="117"/>
        <v>0</v>
      </c>
      <c r="K69" s="488">
        <f t="shared" si="117"/>
        <v>0</v>
      </c>
      <c r="L69" s="488">
        <f t="shared" si="117"/>
        <v>0</v>
      </c>
      <c r="M69" s="488">
        <f t="shared" ref="M69" si="118">+M70+M71</f>
        <v>0</v>
      </c>
      <c r="N69" s="488">
        <f t="shared" si="117"/>
        <v>0</v>
      </c>
      <c r="O69" s="488">
        <f t="shared" si="117"/>
        <v>0</v>
      </c>
      <c r="P69" s="488">
        <f t="shared" si="117"/>
        <v>0</v>
      </c>
      <c r="Q69" s="488"/>
      <c r="R69" s="488"/>
      <c r="S69" s="488"/>
      <c r="T69" s="488"/>
      <c r="U69" s="1154"/>
      <c r="V69" s="1154"/>
      <c r="W69" s="1154"/>
      <c r="X69" s="1516"/>
      <c r="Y69" s="3901"/>
    </row>
    <row r="70" spans="1:26" s="1230" customFormat="1" ht="12" hidden="1" customHeight="1">
      <c r="A70" s="4071"/>
      <c r="B70" s="491" t="s">
        <v>24</v>
      </c>
      <c r="C70" s="4136"/>
      <c r="D70" s="456">
        <f t="shared" ref="D70:D71" si="119">SUM(M70:T70)</f>
        <v>0</v>
      </c>
      <c r="E70" s="492">
        <v>0</v>
      </c>
      <c r="F70" s="492"/>
      <c r="G70" s="492"/>
      <c r="H70" s="492"/>
      <c r="I70" s="492">
        <v>0</v>
      </c>
      <c r="J70" s="492"/>
      <c r="K70" s="492"/>
      <c r="L70" s="492"/>
      <c r="M70" s="457">
        <f>+E70+I70+J70+K70+L70</f>
        <v>0</v>
      </c>
      <c r="N70" s="492"/>
      <c r="O70" s="492">
        <f>10018-10018</f>
        <v>0</v>
      </c>
      <c r="P70" s="492">
        <v>0</v>
      </c>
      <c r="Q70" s="492"/>
      <c r="R70" s="492"/>
      <c r="S70" s="492"/>
      <c r="T70" s="492"/>
      <c r="U70" s="1155"/>
      <c r="V70" s="1155"/>
      <c r="W70" s="1155"/>
      <c r="X70" s="493"/>
      <c r="Y70" s="3901"/>
    </row>
    <row r="71" spans="1:26" s="1230" customFormat="1" ht="12.75" hidden="1" customHeight="1">
      <c r="A71" s="4071"/>
      <c r="B71" s="491" t="s">
        <v>29</v>
      </c>
      <c r="C71" s="4130"/>
      <c r="D71" s="456">
        <f t="shared" si="119"/>
        <v>0</v>
      </c>
      <c r="E71" s="461">
        <f>+F71+G71+H71</f>
        <v>0</v>
      </c>
      <c r="F71" s="464"/>
      <c r="G71" s="501"/>
      <c r="H71" s="501"/>
      <c r="I71" s="501"/>
      <c r="J71" s="501"/>
      <c r="K71" s="501"/>
      <c r="L71" s="463">
        <v>0</v>
      </c>
      <c r="M71" s="457"/>
      <c r="N71" s="464">
        <v>0</v>
      </c>
      <c r="O71" s="537">
        <v>0</v>
      </c>
      <c r="P71" s="464">
        <v>0</v>
      </c>
      <c r="Q71" s="464"/>
      <c r="R71" s="464"/>
      <c r="S71" s="464"/>
      <c r="T71" s="464"/>
      <c r="U71" s="952"/>
      <c r="V71" s="952"/>
      <c r="W71" s="952"/>
      <c r="X71" s="493"/>
      <c r="Y71" s="3901"/>
    </row>
    <row r="72" spans="1:26" s="1230" customFormat="1" ht="12" hidden="1" customHeight="1">
      <c r="A72" s="4071"/>
      <c r="B72" s="547" t="s">
        <v>30</v>
      </c>
      <c r="C72" s="4130"/>
      <c r="D72" s="466">
        <f>+D74+D73</f>
        <v>0</v>
      </c>
      <c r="E72" s="466">
        <f t="shared" ref="E72:P72" si="120">+E74+E73</f>
        <v>0</v>
      </c>
      <c r="F72" s="466">
        <f t="shared" si="120"/>
        <v>0</v>
      </c>
      <c r="G72" s="466">
        <f t="shared" si="120"/>
        <v>0</v>
      </c>
      <c r="H72" s="466">
        <f t="shared" si="120"/>
        <v>0</v>
      </c>
      <c r="I72" s="466">
        <f t="shared" si="120"/>
        <v>0</v>
      </c>
      <c r="J72" s="466">
        <f t="shared" si="120"/>
        <v>0</v>
      </c>
      <c r="K72" s="466">
        <f t="shared" si="120"/>
        <v>0</v>
      </c>
      <c r="L72" s="466">
        <f t="shared" si="120"/>
        <v>0</v>
      </c>
      <c r="M72" s="466">
        <f t="shared" si="120"/>
        <v>0</v>
      </c>
      <c r="N72" s="466">
        <f t="shared" si="120"/>
        <v>0</v>
      </c>
      <c r="O72" s="466">
        <f t="shared" si="120"/>
        <v>0</v>
      </c>
      <c r="P72" s="466">
        <f t="shared" si="120"/>
        <v>0</v>
      </c>
      <c r="Q72" s="466"/>
      <c r="R72" s="466"/>
      <c r="S72" s="466"/>
      <c r="T72" s="466"/>
      <c r="U72" s="1156"/>
      <c r="V72" s="1156"/>
      <c r="W72" s="1156"/>
      <c r="X72" s="1649"/>
      <c r="Y72" s="3901"/>
    </row>
    <row r="73" spans="1:26" s="1230" customFormat="1" ht="12" hidden="1" customHeight="1">
      <c r="A73" s="4071"/>
      <c r="B73" s="491" t="s">
        <v>29</v>
      </c>
      <c r="C73" s="4130"/>
      <c r="D73" s="460">
        <f>+E73+I73+J73+K73+L73</f>
        <v>0</v>
      </c>
      <c r="E73" s="461">
        <f>+F73+G73+H73</f>
        <v>0</v>
      </c>
      <c r="F73" s="464">
        <v>0</v>
      </c>
      <c r="G73" s="501">
        <v>0</v>
      </c>
      <c r="H73" s="501">
        <v>0</v>
      </c>
      <c r="I73" s="501">
        <v>0</v>
      </c>
      <c r="J73" s="501">
        <v>0</v>
      </c>
      <c r="K73" s="501">
        <v>0</v>
      </c>
      <c r="L73" s="463">
        <v>0</v>
      </c>
      <c r="M73" s="464"/>
      <c r="N73" s="464">
        <v>0</v>
      </c>
      <c r="O73" s="464">
        <v>0</v>
      </c>
      <c r="P73" s="464">
        <v>0</v>
      </c>
      <c r="Q73" s="464"/>
      <c r="R73" s="464"/>
      <c r="S73" s="464"/>
      <c r="T73" s="464"/>
      <c r="U73" s="952"/>
      <c r="V73" s="952"/>
      <c r="W73" s="952"/>
      <c r="X73" s="1650"/>
      <c r="Y73" s="3901"/>
    </row>
    <row r="74" spans="1:26" s="1230" customFormat="1" ht="12" hidden="1" customHeight="1">
      <c r="A74" s="4071"/>
      <c r="B74" s="496" t="s">
        <v>33</v>
      </c>
      <c r="C74" s="4161"/>
      <c r="D74" s="456">
        <f>SUM(M74:T74)</f>
        <v>0</v>
      </c>
      <c r="E74" s="461">
        <f>+F74+G74+H74</f>
        <v>0</v>
      </c>
      <c r="F74" s="469">
        <v>0</v>
      </c>
      <c r="G74" s="494"/>
      <c r="H74" s="494"/>
      <c r="I74" s="494"/>
      <c r="J74" s="494"/>
      <c r="K74" s="494"/>
      <c r="L74" s="461">
        <v>0</v>
      </c>
      <c r="M74" s="457">
        <f>+E74+I74+J74+K74+L74</f>
        <v>0</v>
      </c>
      <c r="N74" s="461">
        <v>0</v>
      </c>
      <c r="O74" s="461">
        <v>0</v>
      </c>
      <c r="P74" s="461">
        <v>0</v>
      </c>
      <c r="Q74" s="461"/>
      <c r="R74" s="461"/>
      <c r="S74" s="469"/>
      <c r="T74" s="469"/>
      <c r="U74" s="952"/>
      <c r="V74" s="952"/>
      <c r="W74" s="952"/>
      <c r="X74" s="1651"/>
      <c r="Y74" s="4073"/>
    </row>
    <row r="75" spans="1:26" s="1230" customFormat="1" ht="12" hidden="1" customHeight="1">
      <c r="A75" s="4117"/>
      <c r="B75" s="506" t="s">
        <v>34</v>
      </c>
      <c r="C75" s="382"/>
      <c r="D75" s="471">
        <f>+D76+D78</f>
        <v>0</v>
      </c>
      <c r="E75" s="471">
        <f t="shared" ref="E75:P75" si="121">+E76+E78</f>
        <v>0</v>
      </c>
      <c r="F75" s="471">
        <f t="shared" si="121"/>
        <v>0</v>
      </c>
      <c r="G75" s="471">
        <f t="shared" si="121"/>
        <v>0</v>
      </c>
      <c r="H75" s="471">
        <f t="shared" si="121"/>
        <v>0</v>
      </c>
      <c r="I75" s="471">
        <f t="shared" si="121"/>
        <v>0</v>
      </c>
      <c r="J75" s="471">
        <f t="shared" si="121"/>
        <v>0</v>
      </c>
      <c r="K75" s="471">
        <f t="shared" si="121"/>
        <v>0</v>
      </c>
      <c r="L75" s="471">
        <f t="shared" si="121"/>
        <v>0</v>
      </c>
      <c r="M75" s="471">
        <f t="shared" ref="M75" si="122">+M76+M78</f>
        <v>0</v>
      </c>
      <c r="N75" s="471">
        <f t="shared" si="121"/>
        <v>0</v>
      </c>
      <c r="O75" s="471">
        <f t="shared" si="121"/>
        <v>0</v>
      </c>
      <c r="P75" s="471">
        <f t="shared" si="121"/>
        <v>0</v>
      </c>
      <c r="Q75" s="471"/>
      <c r="R75" s="471"/>
      <c r="S75" s="471"/>
      <c r="T75" s="471"/>
      <c r="U75" s="1646"/>
      <c r="V75" s="1646"/>
      <c r="W75" s="1646"/>
      <c r="X75" s="1753"/>
      <c r="Y75" s="4149" t="s">
        <v>415</v>
      </c>
    </row>
    <row r="76" spans="1:26" s="1230" customFormat="1" ht="12" hidden="1" customHeight="1">
      <c r="A76" s="4117"/>
      <c r="B76" s="507" t="s">
        <v>36</v>
      </c>
      <c r="C76" s="4129" t="s">
        <v>102</v>
      </c>
      <c r="D76" s="472">
        <f>+D77</f>
        <v>0</v>
      </c>
      <c r="E76" s="472">
        <f t="shared" ref="E76:P76" si="123">+E77</f>
        <v>0</v>
      </c>
      <c r="F76" s="472">
        <f t="shared" si="123"/>
        <v>0</v>
      </c>
      <c r="G76" s="472">
        <f t="shared" si="123"/>
        <v>0</v>
      </c>
      <c r="H76" s="472">
        <f t="shared" si="123"/>
        <v>0</v>
      </c>
      <c r="I76" s="472">
        <f t="shared" si="123"/>
        <v>0</v>
      </c>
      <c r="J76" s="472">
        <f t="shared" si="123"/>
        <v>0</v>
      </c>
      <c r="K76" s="472">
        <f t="shared" si="123"/>
        <v>0</v>
      </c>
      <c r="L76" s="472">
        <f t="shared" si="123"/>
        <v>0</v>
      </c>
      <c r="M76" s="472">
        <f t="shared" si="123"/>
        <v>0</v>
      </c>
      <c r="N76" s="472">
        <f t="shared" si="123"/>
        <v>0</v>
      </c>
      <c r="O76" s="472">
        <f t="shared" si="123"/>
        <v>0</v>
      </c>
      <c r="P76" s="472">
        <f t="shared" si="123"/>
        <v>0</v>
      </c>
      <c r="Q76" s="472"/>
      <c r="R76" s="472"/>
      <c r="S76" s="472"/>
      <c r="T76" s="472"/>
      <c r="U76" s="1156"/>
      <c r="V76" s="1156"/>
      <c r="W76" s="1156"/>
      <c r="X76" s="1754"/>
      <c r="Y76" s="4124"/>
    </row>
    <row r="77" spans="1:26" s="1230" customFormat="1" ht="12" hidden="1" customHeight="1">
      <c r="A77" s="4117"/>
      <c r="B77" s="491" t="s">
        <v>29</v>
      </c>
      <c r="C77" s="4136"/>
      <c r="D77" s="456">
        <f>SUM(M77:T77)</f>
        <v>0</v>
      </c>
      <c r="E77" s="474">
        <v>0</v>
      </c>
      <c r="F77" s="474">
        <v>0</v>
      </c>
      <c r="G77" s="474">
        <v>0</v>
      </c>
      <c r="H77" s="474">
        <v>0</v>
      </c>
      <c r="I77" s="474">
        <v>0</v>
      </c>
      <c r="J77" s="501"/>
      <c r="K77" s="501"/>
      <c r="L77" s="474"/>
      <c r="M77" s="457"/>
      <c r="N77" s="474">
        <v>0</v>
      </c>
      <c r="O77" s="474">
        <v>0</v>
      </c>
      <c r="P77" s="474">
        <v>0</v>
      </c>
      <c r="Q77" s="474"/>
      <c r="R77" s="474"/>
      <c r="S77" s="474"/>
      <c r="T77" s="474"/>
      <c r="U77" s="557"/>
      <c r="V77" s="557"/>
      <c r="W77" s="557"/>
      <c r="X77" s="1754"/>
      <c r="Y77" s="4124"/>
    </row>
    <row r="78" spans="1:26" s="1230" customFormat="1" ht="12" hidden="1" customHeight="1">
      <c r="A78" s="4117"/>
      <c r="B78" s="547" t="s">
        <v>30</v>
      </c>
      <c r="C78" s="4136"/>
      <c r="D78" s="466">
        <f>+D80+D79</f>
        <v>0</v>
      </c>
      <c r="E78" s="466">
        <f t="shared" ref="E78:P78" si="124">+E80+E79</f>
        <v>0</v>
      </c>
      <c r="F78" s="466">
        <f t="shared" si="124"/>
        <v>0</v>
      </c>
      <c r="G78" s="466">
        <f t="shared" si="124"/>
        <v>0</v>
      </c>
      <c r="H78" s="466">
        <f t="shared" si="124"/>
        <v>0</v>
      </c>
      <c r="I78" s="466">
        <f t="shared" si="124"/>
        <v>0</v>
      </c>
      <c r="J78" s="466">
        <f t="shared" si="124"/>
        <v>0</v>
      </c>
      <c r="K78" s="466">
        <f t="shared" si="124"/>
        <v>0</v>
      </c>
      <c r="L78" s="466">
        <f t="shared" si="124"/>
        <v>0</v>
      </c>
      <c r="M78" s="466">
        <f t="shared" si="124"/>
        <v>0</v>
      </c>
      <c r="N78" s="466">
        <f t="shared" si="124"/>
        <v>0</v>
      </c>
      <c r="O78" s="466">
        <f t="shared" si="124"/>
        <v>0</v>
      </c>
      <c r="P78" s="466">
        <f t="shared" si="124"/>
        <v>0</v>
      </c>
      <c r="Q78" s="466"/>
      <c r="R78" s="466"/>
      <c r="S78" s="466"/>
      <c r="T78" s="466"/>
      <c r="U78" s="1156"/>
      <c r="V78" s="1156"/>
      <c r="W78" s="1156"/>
      <c r="X78" s="1754"/>
      <c r="Y78" s="4124"/>
    </row>
    <row r="79" spans="1:26" s="1230" customFormat="1" ht="12" hidden="1" customHeight="1">
      <c r="A79" s="4117"/>
      <c r="B79" s="491" t="s">
        <v>29</v>
      </c>
      <c r="C79" s="4136"/>
      <c r="D79" s="456">
        <f t="shared" ref="D79:D80" si="125">SUM(M79:T79)</f>
        <v>0</v>
      </c>
      <c r="E79" s="463">
        <v>0</v>
      </c>
      <c r="F79" s="464"/>
      <c r="G79" s="501"/>
      <c r="H79" s="501"/>
      <c r="I79" s="501">
        <v>0</v>
      </c>
      <c r="J79" s="501">
        <v>0</v>
      </c>
      <c r="K79" s="501">
        <v>0</v>
      </c>
      <c r="L79" s="463">
        <v>0</v>
      </c>
      <c r="M79" s="457">
        <f>+E79+I79+J79+K79+L79</f>
        <v>0</v>
      </c>
      <c r="N79" s="464">
        <v>0</v>
      </c>
      <c r="O79" s="464">
        <v>0</v>
      </c>
      <c r="P79" s="464">
        <v>0</v>
      </c>
      <c r="Q79" s="464"/>
      <c r="R79" s="464"/>
      <c r="S79" s="464"/>
      <c r="T79" s="464"/>
      <c r="U79" s="952"/>
      <c r="V79" s="952"/>
      <c r="W79" s="952"/>
      <c r="X79" s="1754"/>
      <c r="Y79" s="4124"/>
    </row>
    <row r="80" spans="1:26" s="1230" customFormat="1" ht="12" hidden="1" customHeight="1" thickBot="1">
      <c r="A80" s="4118"/>
      <c r="B80" s="502" t="s">
        <v>33</v>
      </c>
      <c r="C80" s="4137"/>
      <c r="D80" s="456">
        <f t="shared" si="125"/>
        <v>0</v>
      </c>
      <c r="E80" s="498">
        <f>+F80+G80+H80</f>
        <v>0</v>
      </c>
      <c r="F80" s="499">
        <v>0</v>
      </c>
      <c r="G80" s="504">
        <v>0</v>
      </c>
      <c r="H80" s="498">
        <v>0</v>
      </c>
      <c r="I80" s="498">
        <v>0</v>
      </c>
      <c r="J80" s="498"/>
      <c r="K80" s="498"/>
      <c r="L80" s="498"/>
      <c r="M80" s="477">
        <f>L80+E80+I80+J80+K80</f>
        <v>0</v>
      </c>
      <c r="N80" s="498">
        <v>0</v>
      </c>
      <c r="O80" s="498">
        <v>0</v>
      </c>
      <c r="P80" s="498">
        <v>0</v>
      </c>
      <c r="Q80" s="498"/>
      <c r="R80" s="498"/>
      <c r="S80" s="498"/>
      <c r="T80" s="498"/>
      <c r="U80" s="479"/>
      <c r="V80" s="479"/>
      <c r="W80" s="479"/>
      <c r="X80" s="1755"/>
      <c r="Y80" s="4125"/>
    </row>
    <row r="81" spans="1:26" s="1230" customFormat="1" ht="25.5" customHeight="1">
      <c r="A81" s="4091" t="s">
        <v>80</v>
      </c>
      <c r="B81" s="2851" t="s">
        <v>578</v>
      </c>
      <c r="C81" s="480" t="s">
        <v>98</v>
      </c>
      <c r="D81" s="481"/>
      <c r="E81" s="505"/>
      <c r="F81" s="482"/>
      <c r="G81" s="483"/>
      <c r="H81" s="483"/>
      <c r="I81" s="443"/>
      <c r="J81" s="443"/>
      <c r="K81" s="443"/>
      <c r="L81" s="443"/>
      <c r="M81" s="443"/>
      <c r="N81" s="443"/>
      <c r="O81" s="443"/>
      <c r="P81" s="445"/>
      <c r="Q81" s="445"/>
      <c r="R81" s="445"/>
      <c r="S81" s="445"/>
      <c r="T81" s="445"/>
      <c r="U81" s="445"/>
      <c r="V81" s="445"/>
      <c r="W81" s="445"/>
      <c r="X81" s="446"/>
      <c r="Y81" s="447" t="s">
        <v>99</v>
      </c>
    </row>
    <row r="82" spans="1:26" s="1230" customFormat="1" ht="12" customHeight="1">
      <c r="A82" s="4071"/>
      <c r="B82" s="2852" t="s">
        <v>22</v>
      </c>
      <c r="C82" s="382"/>
      <c r="D82" s="1952">
        <f t="shared" ref="D82:P82" si="126">+D83+D87</f>
        <v>39393906</v>
      </c>
      <c r="E82" s="486">
        <f t="shared" si="126"/>
        <v>106483</v>
      </c>
      <c r="F82" s="485">
        <f t="shared" si="126"/>
        <v>16483</v>
      </c>
      <c r="G82" s="485">
        <f t="shared" si="126"/>
        <v>6633</v>
      </c>
      <c r="H82" s="486">
        <f t="shared" si="126"/>
        <v>0</v>
      </c>
      <c r="I82" s="485">
        <f t="shared" si="126"/>
        <v>561530</v>
      </c>
      <c r="J82" s="485">
        <f t="shared" si="126"/>
        <v>13168067</v>
      </c>
      <c r="K82" s="486">
        <f t="shared" si="126"/>
        <v>25505841</v>
      </c>
      <c r="L82" s="485">
        <f t="shared" si="126"/>
        <v>16985</v>
      </c>
      <c r="M82" s="485">
        <f t="shared" ref="M82" si="127">+M83+M87</f>
        <v>39360985</v>
      </c>
      <c r="N82" s="485">
        <f t="shared" si="126"/>
        <v>2079</v>
      </c>
      <c r="O82" s="1952">
        <f t="shared" si="126"/>
        <v>13280</v>
      </c>
      <c r="P82" s="1952">
        <f t="shared" si="126"/>
        <v>19641</v>
      </c>
      <c r="Q82" s="485">
        <f t="shared" ref="Q82:T82" si="128">+Q83+Q87</f>
        <v>0</v>
      </c>
      <c r="R82" s="485">
        <f t="shared" si="128"/>
        <v>0</v>
      </c>
      <c r="S82" s="485">
        <f t="shared" si="128"/>
        <v>0</v>
      </c>
      <c r="T82" s="485">
        <f t="shared" si="128"/>
        <v>0</v>
      </c>
      <c r="U82" s="485"/>
      <c r="V82" s="485"/>
      <c r="W82" s="485"/>
      <c r="X82" s="487">
        <f>+X83+X87</f>
        <v>19641</v>
      </c>
      <c r="Y82" s="3901" t="s">
        <v>100</v>
      </c>
      <c r="Z82" s="1229">
        <f>+O82+P82</f>
        <v>32921</v>
      </c>
    </row>
    <row r="83" spans="1:26" s="1230" customFormat="1" ht="12" customHeight="1">
      <c r="A83" s="4071"/>
      <c r="B83" s="2853" t="s">
        <v>36</v>
      </c>
      <c r="C83" s="4129" t="s">
        <v>101</v>
      </c>
      <c r="D83" s="2281">
        <f>+D84+D85+D86</f>
        <v>11235809</v>
      </c>
      <c r="E83" s="508">
        <f t="shared" ref="E83:P83" si="129">+E84+E85+E86</f>
        <v>39227</v>
      </c>
      <c r="F83" s="508">
        <f t="shared" si="129"/>
        <v>16483</v>
      </c>
      <c r="G83" s="508">
        <f t="shared" si="129"/>
        <v>6633</v>
      </c>
      <c r="H83" s="508">
        <f t="shared" si="129"/>
        <v>0</v>
      </c>
      <c r="I83" s="508">
        <f t="shared" si="129"/>
        <v>444194</v>
      </c>
      <c r="J83" s="508">
        <f t="shared" si="129"/>
        <v>6759056</v>
      </c>
      <c r="K83" s="508">
        <f t="shared" si="129"/>
        <v>3941347</v>
      </c>
      <c r="L83" s="508">
        <f t="shared" si="129"/>
        <v>16985</v>
      </c>
      <c r="M83" s="508">
        <f t="shared" ref="M83" si="130">+M84+M85+M86</f>
        <v>11202888</v>
      </c>
      <c r="N83" s="508">
        <f t="shared" si="129"/>
        <v>2079</v>
      </c>
      <c r="O83" s="2281">
        <f t="shared" si="129"/>
        <v>13280</v>
      </c>
      <c r="P83" s="2281">
        <f t="shared" si="129"/>
        <v>19641</v>
      </c>
      <c r="Q83" s="508">
        <f t="shared" ref="Q83:T83" si="131">+Q84+Q85+Q86</f>
        <v>0</v>
      </c>
      <c r="R83" s="508">
        <f t="shared" si="131"/>
        <v>0</v>
      </c>
      <c r="S83" s="508">
        <f t="shared" si="131"/>
        <v>0</v>
      </c>
      <c r="T83" s="508">
        <f t="shared" si="131"/>
        <v>0</v>
      </c>
      <c r="U83" s="508"/>
      <c r="V83" s="508"/>
      <c r="W83" s="508"/>
      <c r="X83" s="509">
        <f>+X84+X85+X86</f>
        <v>19641</v>
      </c>
      <c r="Y83" s="3901"/>
    </row>
    <row r="84" spans="1:26" s="1230" customFormat="1" ht="12" customHeight="1">
      <c r="A84" s="4071"/>
      <c r="B84" s="2426" t="s">
        <v>24</v>
      </c>
      <c r="C84" s="4130"/>
      <c r="D84" s="1958">
        <f>M84+O84+P84+Q84+R84+S84+T84+U84+V84+W84</f>
        <v>4465729</v>
      </c>
      <c r="E84" s="1565">
        <v>23116</v>
      </c>
      <c r="F84" s="501">
        <v>16483</v>
      </c>
      <c r="G84" s="463">
        <v>6633</v>
      </c>
      <c r="H84" s="463">
        <v>0</v>
      </c>
      <c r="I84" s="463">
        <v>416086</v>
      </c>
      <c r="J84" s="463">
        <v>1131259</v>
      </c>
      <c r="K84" s="1820">
        <f>2467799+350000-15901+41385</f>
        <v>2843283</v>
      </c>
      <c r="L84" s="501">
        <f>170000-153015</f>
        <v>16985</v>
      </c>
      <c r="M84" s="457">
        <f>+E84+I84+J84+K84+L84+N84</f>
        <v>4432808</v>
      </c>
      <c r="N84" s="501">
        <f>40000-32921-5000</f>
        <v>2079</v>
      </c>
      <c r="O84" s="1371">
        <f>32921-14641-5000</f>
        <v>13280</v>
      </c>
      <c r="P84" s="2828">
        <f>14641+5000</f>
        <v>19641</v>
      </c>
      <c r="Q84" s="464"/>
      <c r="R84" s="464"/>
      <c r="S84" s="464"/>
      <c r="T84" s="464"/>
      <c r="U84" s="464"/>
      <c r="V84" s="464"/>
      <c r="W84" s="464"/>
      <c r="X84" s="416">
        <f>SUM(P84:T84)</f>
        <v>19641</v>
      </c>
      <c r="Y84" s="3901"/>
    </row>
    <row r="85" spans="1:26" s="1230" customFormat="1" ht="12" customHeight="1">
      <c r="A85" s="4071"/>
      <c r="B85" s="2805" t="s">
        <v>29</v>
      </c>
      <c r="C85" s="4130"/>
      <c r="D85" s="1958">
        <f>M85+O85+P85+Q85+R85+S85+T85+U85+V85+W85</f>
        <v>6745480</v>
      </c>
      <c r="E85" s="463">
        <v>16111</v>
      </c>
      <c r="F85" s="469"/>
      <c r="G85" s="461"/>
      <c r="H85" s="461"/>
      <c r="I85" s="461">
        <v>28108</v>
      </c>
      <c r="J85" s="461">
        <v>5627797</v>
      </c>
      <c r="K85" s="1818">
        <f>1077530+3932-7998</f>
        <v>1073464</v>
      </c>
      <c r="L85" s="464">
        <v>0</v>
      </c>
      <c r="M85" s="457">
        <f>+E85+I85+J85+K85+L85+N85</f>
        <v>6745480</v>
      </c>
      <c r="N85" s="464">
        <v>0</v>
      </c>
      <c r="O85" s="464">
        <v>0</v>
      </c>
      <c r="P85" s="464">
        <v>0</v>
      </c>
      <c r="Q85" s="464"/>
      <c r="R85" s="464"/>
      <c r="S85" s="464"/>
      <c r="T85" s="464"/>
      <c r="U85" s="464"/>
      <c r="V85" s="464"/>
      <c r="W85" s="464"/>
      <c r="X85" s="416">
        <f>SUM(P85:T85)</f>
        <v>0</v>
      </c>
      <c r="Y85" s="3901"/>
    </row>
    <row r="86" spans="1:26" s="1230" customFormat="1" ht="12" customHeight="1">
      <c r="A86" s="4071"/>
      <c r="B86" s="2805" t="s">
        <v>27</v>
      </c>
      <c r="C86" s="4130"/>
      <c r="D86" s="1958">
        <f>M86+O86+P86+Q86+R86+S86+T86+U86+V86+W86</f>
        <v>24600</v>
      </c>
      <c r="E86" s="464">
        <v>0</v>
      </c>
      <c r="F86" s="469"/>
      <c r="G86" s="469"/>
      <c r="H86" s="469"/>
      <c r="I86" s="469">
        <v>0</v>
      </c>
      <c r="J86" s="469">
        <v>0</v>
      </c>
      <c r="K86" s="469">
        <v>24600</v>
      </c>
      <c r="L86" s="464">
        <v>0</v>
      </c>
      <c r="M86" s="457">
        <f>+E86+I86+J86+K86+L86+N86</f>
        <v>24600</v>
      </c>
      <c r="N86" s="464">
        <v>0</v>
      </c>
      <c r="O86" s="464">
        <v>0</v>
      </c>
      <c r="P86" s="464">
        <v>0</v>
      </c>
      <c r="Q86" s="464"/>
      <c r="R86" s="464"/>
      <c r="S86" s="464"/>
      <c r="T86" s="464"/>
      <c r="U86" s="464"/>
      <c r="V86" s="464"/>
      <c r="W86" s="464"/>
      <c r="X86" s="416">
        <f>SUM(P86:T86)</f>
        <v>0</v>
      </c>
      <c r="Y86" s="3901"/>
    </row>
    <row r="87" spans="1:26" s="1230" customFormat="1" ht="12" customHeight="1">
      <c r="A87" s="4071"/>
      <c r="B87" s="2866" t="s">
        <v>30</v>
      </c>
      <c r="C87" s="4130"/>
      <c r="D87" s="1811">
        <f>+D89+D88</f>
        <v>28158097</v>
      </c>
      <c r="E87" s="466">
        <f t="shared" ref="E87:P87" si="132">+E89+E88</f>
        <v>67256</v>
      </c>
      <c r="F87" s="466">
        <f t="shared" si="132"/>
        <v>0</v>
      </c>
      <c r="G87" s="466">
        <f t="shared" si="132"/>
        <v>0</v>
      </c>
      <c r="H87" s="466">
        <f t="shared" si="132"/>
        <v>0</v>
      </c>
      <c r="I87" s="466">
        <f t="shared" si="132"/>
        <v>117336</v>
      </c>
      <c r="J87" s="466">
        <f t="shared" si="132"/>
        <v>6409011</v>
      </c>
      <c r="K87" s="1811">
        <f t="shared" si="132"/>
        <v>21564494</v>
      </c>
      <c r="L87" s="466">
        <f t="shared" si="132"/>
        <v>0</v>
      </c>
      <c r="M87" s="466">
        <f t="shared" si="132"/>
        <v>28158097</v>
      </c>
      <c r="N87" s="466">
        <f t="shared" si="132"/>
        <v>0</v>
      </c>
      <c r="O87" s="466">
        <f t="shared" si="132"/>
        <v>0</v>
      </c>
      <c r="P87" s="466">
        <f t="shared" si="132"/>
        <v>0</v>
      </c>
      <c r="Q87" s="466"/>
      <c r="R87" s="466"/>
      <c r="S87" s="466"/>
      <c r="T87" s="466"/>
      <c r="U87" s="466"/>
      <c r="V87" s="466"/>
      <c r="W87" s="466"/>
      <c r="X87" s="509">
        <f t="shared" ref="X87" si="133">+X89+X88</f>
        <v>0</v>
      </c>
      <c r="Y87" s="3901"/>
    </row>
    <row r="88" spans="1:26" s="1230" customFormat="1" ht="12.75" hidden="1" customHeight="1">
      <c r="A88" s="4071"/>
      <c r="B88" s="2805" t="s">
        <v>29</v>
      </c>
      <c r="C88" s="4130"/>
      <c r="D88" s="2865">
        <f>+E88+I88+J88+K88+L88</f>
        <v>0</v>
      </c>
      <c r="E88" s="463">
        <v>0</v>
      </c>
      <c r="F88" s="469">
        <v>0</v>
      </c>
      <c r="G88" s="461">
        <v>0</v>
      </c>
      <c r="H88" s="461">
        <v>0</v>
      </c>
      <c r="I88" s="461">
        <v>0</v>
      </c>
      <c r="J88" s="461">
        <v>0</v>
      </c>
      <c r="K88" s="1818">
        <v>0</v>
      </c>
      <c r="L88" s="461">
        <v>0</v>
      </c>
      <c r="M88" s="457">
        <f t="shared" ref="M88" si="134">+E88+I88+J88+K88+L88</f>
        <v>0</v>
      </c>
      <c r="N88" s="461">
        <v>0</v>
      </c>
      <c r="O88" s="461">
        <v>0</v>
      </c>
      <c r="P88" s="469">
        <v>0</v>
      </c>
      <c r="Q88" s="469"/>
      <c r="R88" s="469"/>
      <c r="S88" s="469"/>
      <c r="T88" s="469"/>
      <c r="U88" s="469"/>
      <c r="V88" s="469"/>
      <c r="W88" s="469"/>
      <c r="X88" s="416">
        <f>SUM(P88:T88)</f>
        <v>0</v>
      </c>
      <c r="Y88" s="3901"/>
    </row>
    <row r="89" spans="1:26" s="1230" customFormat="1" ht="12" customHeight="1">
      <c r="A89" s="4071"/>
      <c r="B89" s="2426" t="s">
        <v>33</v>
      </c>
      <c r="C89" s="4161"/>
      <c r="D89" s="1958">
        <f>M89+O89+P89+Q89+R89+S89+T89+U89+V89+W89</f>
        <v>28158097</v>
      </c>
      <c r="E89" s="463">
        <v>67256</v>
      </c>
      <c r="F89" s="469">
        <v>0</v>
      </c>
      <c r="G89" s="461">
        <v>0</v>
      </c>
      <c r="H89" s="461">
        <v>0</v>
      </c>
      <c r="I89" s="461">
        <v>117336</v>
      </c>
      <c r="J89" s="461">
        <v>6409011</v>
      </c>
      <c r="K89" s="1818">
        <f>21585912+11969-33387</f>
        <v>21564494</v>
      </c>
      <c r="L89" s="461">
        <v>0</v>
      </c>
      <c r="M89" s="457">
        <f>+E89+I89+J89+K89+L89+N89</f>
        <v>28158097</v>
      </c>
      <c r="N89" s="461">
        <v>0</v>
      </c>
      <c r="O89" s="461">
        <v>0</v>
      </c>
      <c r="P89" s="469">
        <v>0</v>
      </c>
      <c r="Q89" s="469"/>
      <c r="R89" s="469"/>
      <c r="S89" s="469"/>
      <c r="T89" s="469"/>
      <c r="U89" s="469"/>
      <c r="V89" s="469"/>
      <c r="W89" s="469"/>
      <c r="X89" s="416">
        <f>SUM(P89:T89)</f>
        <v>0</v>
      </c>
      <c r="Y89" s="4073"/>
    </row>
    <row r="90" spans="1:26" s="1230" customFormat="1">
      <c r="A90" s="4117"/>
      <c r="B90" s="2275" t="s">
        <v>34</v>
      </c>
      <c r="C90" s="382"/>
      <c r="D90" s="1797">
        <f>+D91+D94</f>
        <v>34928177</v>
      </c>
      <c r="E90" s="471">
        <f t="shared" ref="E90:P90" si="135">+E91+E94</f>
        <v>0</v>
      </c>
      <c r="F90" s="471">
        <f t="shared" si="135"/>
        <v>0</v>
      </c>
      <c r="G90" s="471">
        <f t="shared" si="135"/>
        <v>0</v>
      </c>
      <c r="H90" s="471">
        <f t="shared" si="135"/>
        <v>0</v>
      </c>
      <c r="I90" s="471">
        <f t="shared" si="135"/>
        <v>0</v>
      </c>
      <c r="J90" s="471">
        <f t="shared" si="135"/>
        <v>7901349</v>
      </c>
      <c r="K90" s="1797">
        <f t="shared" si="135"/>
        <v>25026366</v>
      </c>
      <c r="L90" s="471">
        <f t="shared" si="135"/>
        <v>2000462</v>
      </c>
      <c r="M90" s="471">
        <f t="shared" ref="M90" si="136">+M91+M94</f>
        <v>34928177</v>
      </c>
      <c r="N90" s="471">
        <f t="shared" si="135"/>
        <v>0</v>
      </c>
      <c r="O90" s="471">
        <f t="shared" si="135"/>
        <v>0</v>
      </c>
      <c r="P90" s="471">
        <f t="shared" si="135"/>
        <v>0</v>
      </c>
      <c r="Q90" s="471"/>
      <c r="R90" s="471"/>
      <c r="S90" s="471"/>
      <c r="T90" s="471"/>
      <c r="U90" s="471"/>
      <c r="V90" s="471"/>
      <c r="W90" s="471"/>
      <c r="X90" s="4002" t="s">
        <v>35</v>
      </c>
      <c r="Y90" s="4149" t="s">
        <v>415</v>
      </c>
    </row>
    <row r="91" spans="1:26" s="1230" customFormat="1">
      <c r="A91" s="4117"/>
      <c r="B91" s="2853" t="s">
        <v>36</v>
      </c>
      <c r="C91" s="4129" t="s">
        <v>102</v>
      </c>
      <c r="D91" s="2815">
        <f>+D92+D93</f>
        <v>6770080</v>
      </c>
      <c r="E91" s="472">
        <f t="shared" ref="E91:P91" si="137">+E92+E93</f>
        <v>0</v>
      </c>
      <c r="F91" s="472">
        <f t="shared" si="137"/>
        <v>0</v>
      </c>
      <c r="G91" s="472">
        <f t="shared" si="137"/>
        <v>0</v>
      </c>
      <c r="H91" s="472">
        <f t="shared" si="137"/>
        <v>0</v>
      </c>
      <c r="I91" s="472">
        <f t="shared" si="137"/>
        <v>0</v>
      </c>
      <c r="J91" s="472">
        <f t="shared" si="137"/>
        <v>4171661</v>
      </c>
      <c r="K91" s="2815">
        <f t="shared" si="137"/>
        <v>2211809</v>
      </c>
      <c r="L91" s="472">
        <f t="shared" si="137"/>
        <v>386610</v>
      </c>
      <c r="M91" s="472">
        <f t="shared" ref="M91" si="138">+M92+M93</f>
        <v>6770080</v>
      </c>
      <c r="N91" s="472">
        <f t="shared" si="137"/>
        <v>0</v>
      </c>
      <c r="O91" s="472">
        <f t="shared" si="137"/>
        <v>0</v>
      </c>
      <c r="P91" s="472">
        <f t="shared" si="137"/>
        <v>0</v>
      </c>
      <c r="Q91" s="472"/>
      <c r="R91" s="472"/>
      <c r="S91" s="472"/>
      <c r="T91" s="472"/>
      <c r="U91" s="472"/>
      <c r="V91" s="472"/>
      <c r="W91" s="472"/>
      <c r="X91" s="4003"/>
      <c r="Y91" s="4124"/>
    </row>
    <row r="92" spans="1:26" s="1230" customFormat="1" ht="12" customHeight="1">
      <c r="A92" s="4117"/>
      <c r="B92" s="2805" t="s">
        <v>29</v>
      </c>
      <c r="C92" s="4136"/>
      <c r="D92" s="1958">
        <f>M92+O92+P92+Q92+R92+S92+T92+U92+V92+W92</f>
        <v>6745480</v>
      </c>
      <c r="E92" s="464">
        <v>0</v>
      </c>
      <c r="F92" s="464"/>
      <c r="G92" s="513"/>
      <c r="H92" s="514"/>
      <c r="I92" s="514">
        <v>0</v>
      </c>
      <c r="J92" s="513">
        <v>4171661</v>
      </c>
      <c r="K92" s="2862">
        <f>2195207-7998</f>
        <v>2187209</v>
      </c>
      <c r="L92" s="513">
        <f>456487-17118-52759</f>
        <v>386610</v>
      </c>
      <c r="M92" s="457">
        <f>+E92+I92+J92+K92+L92+N92</f>
        <v>6745480</v>
      </c>
      <c r="N92" s="513">
        <v>0</v>
      </c>
      <c r="O92" s="513">
        <v>0</v>
      </c>
      <c r="P92" s="515">
        <v>0</v>
      </c>
      <c r="Q92" s="515"/>
      <c r="R92" s="515"/>
      <c r="S92" s="515"/>
      <c r="T92" s="515"/>
      <c r="U92" s="515"/>
      <c r="V92" s="515"/>
      <c r="W92" s="515"/>
      <c r="X92" s="4003"/>
      <c r="Y92" s="4124"/>
    </row>
    <row r="93" spans="1:26" s="1230" customFormat="1" ht="10.5" customHeight="1">
      <c r="A93" s="4117"/>
      <c r="B93" s="2805" t="s">
        <v>27</v>
      </c>
      <c r="C93" s="4136"/>
      <c r="D93" s="1958">
        <f>M93+O93+P93+Q93+R93+S93+T93+U93+V93+W93</f>
        <v>24600</v>
      </c>
      <c r="E93" s="464"/>
      <c r="F93" s="464"/>
      <c r="G93" s="516"/>
      <c r="H93" s="517"/>
      <c r="I93" s="517"/>
      <c r="J93" s="516"/>
      <c r="K93" s="2863">
        <v>24600</v>
      </c>
      <c r="L93" s="516"/>
      <c r="M93" s="457">
        <f>+E93+I93+J93+K93+L93+N93</f>
        <v>24600</v>
      </c>
      <c r="N93" s="516"/>
      <c r="O93" s="516"/>
      <c r="P93" s="513"/>
      <c r="Q93" s="516"/>
      <c r="R93" s="516"/>
      <c r="S93" s="516"/>
      <c r="T93" s="516"/>
      <c r="U93" s="516"/>
      <c r="V93" s="516"/>
      <c r="W93" s="516"/>
      <c r="X93" s="4003"/>
      <c r="Y93" s="4124"/>
    </row>
    <row r="94" spans="1:26" s="1230" customFormat="1" ht="12" customHeight="1">
      <c r="A94" s="4117"/>
      <c r="B94" s="2866" t="s">
        <v>30</v>
      </c>
      <c r="C94" s="4136"/>
      <c r="D94" s="1967">
        <f>+D96+D95</f>
        <v>28158097</v>
      </c>
      <c r="E94" s="518">
        <f t="shared" ref="E94:P94" si="139">+E96+E95</f>
        <v>0</v>
      </c>
      <c r="F94" s="518">
        <f t="shared" si="139"/>
        <v>0</v>
      </c>
      <c r="G94" s="518">
        <f t="shared" si="139"/>
        <v>0</v>
      </c>
      <c r="H94" s="518">
        <f t="shared" si="139"/>
        <v>0</v>
      </c>
      <c r="I94" s="518">
        <f t="shared" si="139"/>
        <v>0</v>
      </c>
      <c r="J94" s="518">
        <f t="shared" si="139"/>
        <v>3729688</v>
      </c>
      <c r="K94" s="1968">
        <f t="shared" si="139"/>
        <v>22814557</v>
      </c>
      <c r="L94" s="518">
        <f t="shared" si="139"/>
        <v>1613852</v>
      </c>
      <c r="M94" s="518">
        <f t="shared" si="139"/>
        <v>28158097</v>
      </c>
      <c r="N94" s="518">
        <f t="shared" si="139"/>
        <v>0</v>
      </c>
      <c r="O94" s="518">
        <f t="shared" si="139"/>
        <v>0</v>
      </c>
      <c r="P94" s="518">
        <f t="shared" si="139"/>
        <v>0</v>
      </c>
      <c r="Q94" s="518"/>
      <c r="R94" s="518"/>
      <c r="S94" s="518"/>
      <c r="T94" s="518"/>
      <c r="U94" s="518"/>
      <c r="V94" s="518"/>
      <c r="W94" s="518"/>
      <c r="X94" s="4003"/>
      <c r="Y94" s="4124"/>
    </row>
    <row r="95" spans="1:26" s="1230" customFormat="1" ht="12" hidden="1" customHeight="1">
      <c r="A95" s="4117"/>
      <c r="B95" s="2805" t="s">
        <v>29</v>
      </c>
      <c r="C95" s="4136"/>
      <c r="D95" s="2817">
        <f>+E95+I95+J95+K95+L95</f>
        <v>0</v>
      </c>
      <c r="E95" s="464">
        <v>0</v>
      </c>
      <c r="F95" s="464"/>
      <c r="G95" s="513"/>
      <c r="H95" s="514"/>
      <c r="I95" s="514">
        <v>0</v>
      </c>
      <c r="J95" s="513">
        <v>0</v>
      </c>
      <c r="K95" s="2862">
        <v>0</v>
      </c>
      <c r="L95" s="513">
        <v>0</v>
      </c>
      <c r="M95" s="513"/>
      <c r="N95" s="513">
        <v>0</v>
      </c>
      <c r="O95" s="513">
        <v>0</v>
      </c>
      <c r="P95" s="515">
        <v>0</v>
      </c>
      <c r="Q95" s="515"/>
      <c r="R95" s="515"/>
      <c r="S95" s="515"/>
      <c r="T95" s="515"/>
      <c r="U95" s="515"/>
      <c r="V95" s="515"/>
      <c r="W95" s="515"/>
      <c r="X95" s="4004"/>
      <c r="Y95" s="4124"/>
    </row>
    <row r="96" spans="1:26" s="1230" customFormat="1" ht="12.75" customHeight="1" thickBot="1">
      <c r="A96" s="4118"/>
      <c r="B96" s="2867" t="s">
        <v>33</v>
      </c>
      <c r="C96" s="4137"/>
      <c r="D96" s="1958">
        <f>M96+O96+P96+Q96+R96+S96+T96+U96+V96+W96</f>
        <v>28158097</v>
      </c>
      <c r="E96" s="478">
        <f>+F96+G96+H96</f>
        <v>0</v>
      </c>
      <c r="F96" s="478">
        <v>0</v>
      </c>
      <c r="G96" s="520">
        <v>0</v>
      </c>
      <c r="H96" s="521">
        <v>0</v>
      </c>
      <c r="I96" s="521">
        <v>0</v>
      </c>
      <c r="J96" s="520">
        <v>3729688</v>
      </c>
      <c r="K96" s="2864">
        <f>22847944-33387</f>
        <v>22814557</v>
      </c>
      <c r="L96" s="520">
        <f>1968384-134299-220233</f>
        <v>1613852</v>
      </c>
      <c r="M96" s="457">
        <f>+E96+I96+J96+K96+L96+N96</f>
        <v>28158097</v>
      </c>
      <c r="N96" s="520">
        <v>0</v>
      </c>
      <c r="O96" s="520">
        <v>0</v>
      </c>
      <c r="P96" s="522">
        <v>0</v>
      </c>
      <c r="Q96" s="522"/>
      <c r="R96" s="522"/>
      <c r="S96" s="522"/>
      <c r="T96" s="522"/>
      <c r="U96" s="522"/>
      <c r="V96" s="522"/>
      <c r="W96" s="522"/>
      <c r="X96" s="523"/>
      <c r="Y96" s="4125"/>
    </row>
    <row r="97" spans="1:29" s="1230" customFormat="1" ht="26.25" customHeight="1">
      <c r="A97" s="4077" t="s">
        <v>81</v>
      </c>
      <c r="B97" s="2854" t="s">
        <v>574</v>
      </c>
      <c r="C97" s="441" t="s">
        <v>98</v>
      </c>
      <c r="D97" s="481"/>
      <c r="E97" s="505"/>
      <c r="F97" s="482"/>
      <c r="G97" s="483"/>
      <c r="H97" s="483"/>
      <c r="I97" s="443"/>
      <c r="J97" s="443"/>
      <c r="K97" s="443"/>
      <c r="L97" s="443"/>
      <c r="M97" s="443"/>
      <c r="N97" s="443"/>
      <c r="O97" s="443"/>
      <c r="P97" s="445"/>
      <c r="Q97" s="445"/>
      <c r="R97" s="445"/>
      <c r="S97" s="445"/>
      <c r="T97" s="445"/>
      <c r="U97" s="445"/>
      <c r="V97" s="445"/>
      <c r="W97" s="445"/>
      <c r="X97" s="446"/>
      <c r="Y97" s="447" t="s">
        <v>99</v>
      </c>
    </row>
    <row r="98" spans="1:29" s="1230" customFormat="1" ht="13.5" customHeight="1">
      <c r="A98" s="4078"/>
      <c r="B98" s="381" t="s">
        <v>22</v>
      </c>
      <c r="C98" s="382"/>
      <c r="D98" s="485">
        <f t="shared" ref="D98:P98" si="140">+D99+D102</f>
        <v>15972643</v>
      </c>
      <c r="E98" s="485">
        <f t="shared" si="140"/>
        <v>15437</v>
      </c>
      <c r="F98" s="485">
        <f t="shared" si="140"/>
        <v>0</v>
      </c>
      <c r="G98" s="485">
        <f t="shared" si="140"/>
        <v>15437</v>
      </c>
      <c r="H98" s="485">
        <f t="shared" si="140"/>
        <v>0</v>
      </c>
      <c r="I98" s="485">
        <f t="shared" si="140"/>
        <v>342392</v>
      </c>
      <c r="J98" s="485">
        <f t="shared" si="140"/>
        <v>8517618</v>
      </c>
      <c r="K98" s="485">
        <f t="shared" si="140"/>
        <v>6851153</v>
      </c>
      <c r="L98" s="485">
        <f t="shared" si="140"/>
        <v>46043</v>
      </c>
      <c r="M98" s="485">
        <f t="shared" ref="M98" si="141">+M99+M102</f>
        <v>15820209</v>
      </c>
      <c r="N98" s="485">
        <f t="shared" si="140"/>
        <v>47566</v>
      </c>
      <c r="O98" s="1952">
        <f t="shared" si="140"/>
        <v>0</v>
      </c>
      <c r="P98" s="1952">
        <f t="shared" si="140"/>
        <v>152434</v>
      </c>
      <c r="Q98" s="485"/>
      <c r="R98" s="485"/>
      <c r="S98" s="485"/>
      <c r="T98" s="485"/>
      <c r="U98" s="485"/>
      <c r="V98" s="485"/>
      <c r="W98" s="485"/>
      <c r="X98" s="487">
        <f>+X99+X102</f>
        <v>152434</v>
      </c>
      <c r="Y98" s="3901" t="s">
        <v>100</v>
      </c>
    </row>
    <row r="99" spans="1:29" s="1230" customFormat="1" ht="12" customHeight="1">
      <c r="A99" s="4078"/>
      <c r="B99" s="533" t="s">
        <v>36</v>
      </c>
      <c r="C99" s="4129" t="s">
        <v>101</v>
      </c>
      <c r="D99" s="488">
        <f t="shared" ref="D99:P99" si="142">+D100+D101</f>
        <v>8165030</v>
      </c>
      <c r="E99" s="488">
        <f t="shared" si="142"/>
        <v>15437</v>
      </c>
      <c r="F99" s="488">
        <f t="shared" si="142"/>
        <v>0</v>
      </c>
      <c r="G99" s="488">
        <f t="shared" si="142"/>
        <v>15437</v>
      </c>
      <c r="H99" s="488">
        <f t="shared" si="142"/>
        <v>0</v>
      </c>
      <c r="I99" s="488">
        <f t="shared" si="142"/>
        <v>171542</v>
      </c>
      <c r="J99" s="488">
        <f t="shared" si="142"/>
        <v>6033655</v>
      </c>
      <c r="K99" s="488">
        <f t="shared" si="142"/>
        <v>1698353</v>
      </c>
      <c r="L99" s="488">
        <f t="shared" si="142"/>
        <v>46043</v>
      </c>
      <c r="M99" s="488">
        <f t="shared" ref="M99" si="143">+M100+M101</f>
        <v>8012596</v>
      </c>
      <c r="N99" s="488">
        <f t="shared" si="142"/>
        <v>47566</v>
      </c>
      <c r="O99" s="1955">
        <f t="shared" si="142"/>
        <v>0</v>
      </c>
      <c r="P99" s="1955">
        <f t="shared" si="142"/>
        <v>152434</v>
      </c>
      <c r="Q99" s="488"/>
      <c r="R99" s="488"/>
      <c r="S99" s="488"/>
      <c r="T99" s="488"/>
      <c r="U99" s="488"/>
      <c r="V99" s="488"/>
      <c r="W99" s="488"/>
      <c r="X99" s="509">
        <f>+X100+X101</f>
        <v>152434</v>
      </c>
      <c r="Y99" s="3901"/>
    </row>
    <row r="100" spans="1:29" s="1230" customFormat="1" ht="12" customHeight="1">
      <c r="A100" s="4078"/>
      <c r="B100" s="1957" t="s">
        <v>24</v>
      </c>
      <c r="C100" s="4136"/>
      <c r="D100" s="456">
        <f t="shared" ref="D100:D101" si="144">M100+O100+P100+Q100+R100+S100+T100+U100+V100+W100</f>
        <v>357417</v>
      </c>
      <c r="E100" s="464">
        <f>+F100+G100+H100</f>
        <v>15437</v>
      </c>
      <c r="F100" s="464">
        <v>0</v>
      </c>
      <c r="G100" s="501">
        <v>15437</v>
      </c>
      <c r="H100" s="501">
        <v>0</v>
      </c>
      <c r="I100" s="501">
        <v>692</v>
      </c>
      <c r="J100" s="501">
        <f>480+922</f>
        <v>1402</v>
      </c>
      <c r="K100" s="501">
        <v>93843</v>
      </c>
      <c r="L100" s="463">
        <f>140000-93957</f>
        <v>46043</v>
      </c>
      <c r="M100" s="457">
        <f>+E100+I100+J100+K100+L100+N100</f>
        <v>204983</v>
      </c>
      <c r="N100" s="501">
        <f>120000+80000-152434</f>
        <v>47566</v>
      </c>
      <c r="O100" s="1371">
        <f>152434-152434</f>
        <v>0</v>
      </c>
      <c r="P100" s="2828">
        <f>152434</f>
        <v>152434</v>
      </c>
      <c r="Q100" s="464"/>
      <c r="R100" s="464"/>
      <c r="S100" s="464"/>
      <c r="T100" s="464"/>
      <c r="U100" s="464"/>
      <c r="V100" s="464"/>
      <c r="W100" s="464"/>
      <c r="X100" s="416">
        <f>SUM(P100:T100)</f>
        <v>152434</v>
      </c>
      <c r="Y100" s="3901"/>
    </row>
    <row r="101" spans="1:29" s="1230" customFormat="1" ht="12" customHeight="1">
      <c r="A101" s="4078"/>
      <c r="B101" s="455" t="s">
        <v>29</v>
      </c>
      <c r="C101" s="4136"/>
      <c r="D101" s="456">
        <f t="shared" si="144"/>
        <v>7807613</v>
      </c>
      <c r="E101" s="463">
        <v>0</v>
      </c>
      <c r="F101" s="464"/>
      <c r="G101" s="463"/>
      <c r="H101" s="501"/>
      <c r="I101" s="501">
        <f>171196-346</f>
        <v>170850</v>
      </c>
      <c r="J101" s="501">
        <f>6032714-461</f>
        <v>6032253</v>
      </c>
      <c r="K101" s="501">
        <v>1604510</v>
      </c>
      <c r="L101" s="464">
        <v>0</v>
      </c>
      <c r="M101" s="457">
        <f>+E101+I101+J101+K101+L101+N101</f>
        <v>7807613</v>
      </c>
      <c r="N101" s="464">
        <v>0</v>
      </c>
      <c r="O101" s="464">
        <v>0</v>
      </c>
      <c r="P101" s="464">
        <v>0</v>
      </c>
      <c r="Q101" s="464"/>
      <c r="R101" s="464"/>
      <c r="S101" s="464"/>
      <c r="T101" s="464"/>
      <c r="U101" s="464"/>
      <c r="V101" s="464"/>
      <c r="W101" s="464"/>
      <c r="X101" s="416">
        <f>SUM(P101:T101)</f>
        <v>0</v>
      </c>
      <c r="Y101" s="3901"/>
    </row>
    <row r="102" spans="1:29" s="1230" customFormat="1" ht="12" customHeight="1">
      <c r="A102" s="4078"/>
      <c r="B102" s="465" t="s">
        <v>30</v>
      </c>
      <c r="C102" s="4136"/>
      <c r="D102" s="466">
        <f t="shared" ref="D102:P102" si="145">+D103+D104</f>
        <v>7807613</v>
      </c>
      <c r="E102" s="466">
        <f t="shared" si="145"/>
        <v>0</v>
      </c>
      <c r="F102" s="466">
        <f t="shared" si="145"/>
        <v>0</v>
      </c>
      <c r="G102" s="466">
        <f t="shared" si="145"/>
        <v>0</v>
      </c>
      <c r="H102" s="466">
        <f t="shared" si="145"/>
        <v>0</v>
      </c>
      <c r="I102" s="466">
        <f t="shared" si="145"/>
        <v>170850</v>
      </c>
      <c r="J102" s="466">
        <f t="shared" si="145"/>
        <v>2483963</v>
      </c>
      <c r="K102" s="466">
        <f t="shared" si="145"/>
        <v>5152800</v>
      </c>
      <c r="L102" s="466">
        <f t="shared" si="145"/>
        <v>0</v>
      </c>
      <c r="M102" s="466">
        <f t="shared" si="145"/>
        <v>7807613</v>
      </c>
      <c r="N102" s="466">
        <f t="shared" si="145"/>
        <v>0</v>
      </c>
      <c r="O102" s="466">
        <f t="shared" si="145"/>
        <v>0</v>
      </c>
      <c r="P102" s="466">
        <f t="shared" si="145"/>
        <v>0</v>
      </c>
      <c r="Q102" s="466"/>
      <c r="R102" s="466"/>
      <c r="S102" s="466"/>
      <c r="T102" s="466"/>
      <c r="U102" s="466"/>
      <c r="V102" s="466"/>
      <c r="W102" s="466"/>
      <c r="X102" s="509">
        <f>+X103+X104</f>
        <v>0</v>
      </c>
      <c r="Y102" s="3901"/>
    </row>
    <row r="103" spans="1:29" s="1230" customFormat="1" ht="12" hidden="1" customHeight="1">
      <c r="A103" s="4078"/>
      <c r="B103" s="510" t="s">
        <v>29</v>
      </c>
      <c r="C103" s="4136"/>
      <c r="D103" s="474">
        <f>+E103+I103+J103+K103+L103</f>
        <v>0</v>
      </c>
      <c r="E103" s="463">
        <v>0</v>
      </c>
      <c r="F103" s="464"/>
      <c r="G103" s="463"/>
      <c r="H103" s="501"/>
      <c r="I103" s="501">
        <v>0</v>
      </c>
      <c r="J103" s="501">
        <v>0</v>
      </c>
      <c r="K103" s="463">
        <v>0</v>
      </c>
      <c r="L103" s="463">
        <v>0</v>
      </c>
      <c r="M103" s="463"/>
      <c r="N103" s="463">
        <v>0</v>
      </c>
      <c r="O103" s="463">
        <v>0</v>
      </c>
      <c r="P103" s="464">
        <v>0</v>
      </c>
      <c r="Q103" s="464"/>
      <c r="R103" s="464"/>
      <c r="S103" s="464"/>
      <c r="T103" s="464"/>
      <c r="U103" s="952"/>
      <c r="V103" s="952"/>
      <c r="W103" s="952"/>
      <c r="X103" s="493"/>
      <c r="Y103" s="3901"/>
    </row>
    <row r="104" spans="1:29" s="1230" customFormat="1" ht="12" customHeight="1">
      <c r="A104" s="4078"/>
      <c r="B104" s="510" t="s">
        <v>33</v>
      </c>
      <c r="C104" s="4159"/>
      <c r="D104" s="456">
        <f>M104+O104+P104+Q104+R104+S104+T104+U104+V104+W104</f>
        <v>7807613</v>
      </c>
      <c r="E104" s="463">
        <v>0</v>
      </c>
      <c r="F104" s="464"/>
      <c r="G104" s="463"/>
      <c r="H104" s="501"/>
      <c r="I104" s="501">
        <f>171196-346</f>
        <v>170850</v>
      </c>
      <c r="J104" s="501">
        <f>2484424-461</f>
        <v>2483963</v>
      </c>
      <c r="K104" s="463">
        <v>5152800</v>
      </c>
      <c r="L104" s="463">
        <v>0</v>
      </c>
      <c r="M104" s="457">
        <f>+E104+I104+J104+K104+L104+N104</f>
        <v>7807613</v>
      </c>
      <c r="N104" s="463">
        <v>0</v>
      </c>
      <c r="O104" s="463">
        <v>0</v>
      </c>
      <c r="P104" s="464">
        <v>0</v>
      </c>
      <c r="Q104" s="464"/>
      <c r="R104" s="464"/>
      <c r="S104" s="464"/>
      <c r="T104" s="464"/>
      <c r="U104" s="464"/>
      <c r="V104" s="464"/>
      <c r="W104" s="464"/>
      <c r="X104" s="416">
        <f>SUM(P104:T104)</f>
        <v>0</v>
      </c>
      <c r="Y104" s="4073"/>
    </row>
    <row r="105" spans="1:29" s="1230" customFormat="1" ht="12" customHeight="1">
      <c r="A105" s="4078"/>
      <c r="B105" s="524" t="s">
        <v>34</v>
      </c>
      <c r="C105" s="382"/>
      <c r="D105" s="471">
        <f t="shared" ref="D105:P105" si="146">+D108+D106</f>
        <v>15615226</v>
      </c>
      <c r="E105" s="471">
        <f t="shared" si="146"/>
        <v>0</v>
      </c>
      <c r="F105" s="471">
        <f t="shared" si="146"/>
        <v>0</v>
      </c>
      <c r="G105" s="471">
        <f t="shared" si="146"/>
        <v>0</v>
      </c>
      <c r="H105" s="471">
        <f t="shared" si="146"/>
        <v>0</v>
      </c>
      <c r="I105" s="471">
        <f t="shared" si="146"/>
        <v>0</v>
      </c>
      <c r="J105" s="471">
        <f t="shared" si="146"/>
        <v>5723800</v>
      </c>
      <c r="K105" s="471">
        <f t="shared" si="146"/>
        <v>9043098</v>
      </c>
      <c r="L105" s="471">
        <f t="shared" si="146"/>
        <v>848328</v>
      </c>
      <c r="M105" s="471">
        <f t="shared" ref="M105" si="147">+M108+M106</f>
        <v>15615226</v>
      </c>
      <c r="N105" s="471">
        <f t="shared" si="146"/>
        <v>0</v>
      </c>
      <c r="O105" s="471">
        <f t="shared" si="146"/>
        <v>0</v>
      </c>
      <c r="P105" s="471">
        <f t="shared" si="146"/>
        <v>0</v>
      </c>
      <c r="Q105" s="471"/>
      <c r="R105" s="471"/>
      <c r="S105" s="471"/>
      <c r="T105" s="471"/>
      <c r="U105" s="1555"/>
      <c r="V105" s="1555"/>
      <c r="W105" s="1555"/>
      <c r="X105" s="4002" t="s">
        <v>35</v>
      </c>
      <c r="Y105" s="4149" t="s">
        <v>416</v>
      </c>
    </row>
    <row r="106" spans="1:29" s="1230" customFormat="1" ht="12" customHeight="1">
      <c r="A106" s="4078"/>
      <c r="B106" s="452" t="s">
        <v>36</v>
      </c>
      <c r="C106" s="4129" t="s">
        <v>102</v>
      </c>
      <c r="D106" s="466">
        <f t="shared" ref="D106:P106" si="148">+D107</f>
        <v>7807613</v>
      </c>
      <c r="E106" s="466">
        <f t="shared" si="148"/>
        <v>0</v>
      </c>
      <c r="F106" s="466">
        <f t="shared" si="148"/>
        <v>0</v>
      </c>
      <c r="G106" s="466">
        <f t="shared" si="148"/>
        <v>0</v>
      </c>
      <c r="H106" s="466">
        <f t="shared" si="148"/>
        <v>0</v>
      </c>
      <c r="I106" s="466">
        <f t="shared" si="148"/>
        <v>0</v>
      </c>
      <c r="J106" s="466">
        <f t="shared" si="148"/>
        <v>3068526</v>
      </c>
      <c r="K106" s="466">
        <f t="shared" si="148"/>
        <v>4314923</v>
      </c>
      <c r="L106" s="466">
        <f t="shared" si="148"/>
        <v>424164</v>
      </c>
      <c r="M106" s="466">
        <f t="shared" si="148"/>
        <v>7807613</v>
      </c>
      <c r="N106" s="466">
        <f t="shared" si="148"/>
        <v>0</v>
      </c>
      <c r="O106" s="466">
        <f t="shared" si="148"/>
        <v>0</v>
      </c>
      <c r="P106" s="466">
        <f t="shared" si="148"/>
        <v>0</v>
      </c>
      <c r="Q106" s="466"/>
      <c r="R106" s="466"/>
      <c r="S106" s="466"/>
      <c r="T106" s="466"/>
      <c r="U106" s="466"/>
      <c r="V106" s="466"/>
      <c r="W106" s="466"/>
      <c r="X106" s="4003"/>
      <c r="Y106" s="4124"/>
    </row>
    <row r="107" spans="1:29" s="1230" customFormat="1" ht="12" customHeight="1">
      <c r="A107" s="4078"/>
      <c r="B107" s="491" t="s">
        <v>29</v>
      </c>
      <c r="C107" s="4136"/>
      <c r="D107" s="456">
        <f>M107+O107+P107+Q107+R107+S107+T107+U107+V107+W107</f>
        <v>7807613</v>
      </c>
      <c r="E107" s="473">
        <f>+F107+G107+H107</f>
        <v>0</v>
      </c>
      <c r="F107" s="473">
        <v>0</v>
      </c>
      <c r="G107" s="473">
        <v>0</v>
      </c>
      <c r="H107" s="473">
        <v>0</v>
      </c>
      <c r="I107" s="473">
        <v>0</v>
      </c>
      <c r="J107" s="473">
        <f>3073867-5341</f>
        <v>3068526</v>
      </c>
      <c r="K107" s="473">
        <v>4314923</v>
      </c>
      <c r="L107" s="473">
        <f>424625-461</f>
        <v>424164</v>
      </c>
      <c r="M107" s="457">
        <f>+E107+I107+J107+K107+L107+N107</f>
        <v>7807613</v>
      </c>
      <c r="N107" s="473">
        <v>0</v>
      </c>
      <c r="O107" s="473">
        <v>0</v>
      </c>
      <c r="P107" s="474">
        <v>0</v>
      </c>
      <c r="Q107" s="474"/>
      <c r="R107" s="474"/>
      <c r="S107" s="474"/>
      <c r="T107" s="466"/>
      <c r="U107" s="466"/>
      <c r="V107" s="466"/>
      <c r="W107" s="466"/>
      <c r="X107" s="4003"/>
      <c r="Y107" s="4124"/>
    </row>
    <row r="108" spans="1:29" s="1230" customFormat="1" ht="12" customHeight="1">
      <c r="A108" s="4078"/>
      <c r="B108" s="525" t="s">
        <v>30</v>
      </c>
      <c r="C108" s="4136"/>
      <c r="D108" s="518">
        <f t="shared" ref="D108:P108" si="149">+D109+D110</f>
        <v>7807613</v>
      </c>
      <c r="E108" s="518">
        <f t="shared" si="149"/>
        <v>0</v>
      </c>
      <c r="F108" s="518">
        <f t="shared" si="149"/>
        <v>0</v>
      </c>
      <c r="G108" s="518">
        <f t="shared" si="149"/>
        <v>0</v>
      </c>
      <c r="H108" s="518">
        <f t="shared" si="149"/>
        <v>0</v>
      </c>
      <c r="I108" s="518">
        <f t="shared" si="149"/>
        <v>0</v>
      </c>
      <c r="J108" s="518">
        <f t="shared" si="149"/>
        <v>2655274</v>
      </c>
      <c r="K108" s="518">
        <f t="shared" si="149"/>
        <v>4728175</v>
      </c>
      <c r="L108" s="518">
        <f t="shared" si="149"/>
        <v>424164</v>
      </c>
      <c r="M108" s="518">
        <f t="shared" si="149"/>
        <v>7807613</v>
      </c>
      <c r="N108" s="518">
        <f t="shared" si="149"/>
        <v>0</v>
      </c>
      <c r="O108" s="518">
        <f t="shared" si="149"/>
        <v>0</v>
      </c>
      <c r="P108" s="526">
        <f t="shared" si="149"/>
        <v>0</v>
      </c>
      <c r="Q108" s="526"/>
      <c r="R108" s="526"/>
      <c r="S108" s="526"/>
      <c r="T108" s="474"/>
      <c r="U108" s="474"/>
      <c r="V108" s="474"/>
      <c r="W108" s="474"/>
      <c r="X108" s="4003"/>
      <c r="Y108" s="4124"/>
    </row>
    <row r="109" spans="1:29" s="1230" customFormat="1" ht="12" hidden="1" customHeight="1">
      <c r="A109" s="4078"/>
      <c r="B109" s="510" t="s">
        <v>29</v>
      </c>
      <c r="C109" s="4136"/>
      <c r="D109" s="474">
        <f>+E109+I109+J109+K109+L109</f>
        <v>0</v>
      </c>
      <c r="E109" s="473">
        <f>+F109+G109+H109</f>
        <v>0</v>
      </c>
      <c r="F109" s="473">
        <v>0</v>
      </c>
      <c r="G109" s="473">
        <v>0</v>
      </c>
      <c r="H109" s="473">
        <v>0</v>
      </c>
      <c r="I109" s="473">
        <v>0</v>
      </c>
      <c r="J109" s="473">
        <v>0</v>
      </c>
      <c r="K109" s="473">
        <v>0</v>
      </c>
      <c r="L109" s="473">
        <v>0</v>
      </c>
      <c r="M109" s="473"/>
      <c r="N109" s="473">
        <v>0</v>
      </c>
      <c r="O109" s="473">
        <v>0</v>
      </c>
      <c r="P109" s="474">
        <v>0</v>
      </c>
      <c r="Q109" s="474"/>
      <c r="R109" s="474"/>
      <c r="S109" s="474"/>
      <c r="T109" s="526"/>
      <c r="U109" s="526"/>
      <c r="V109" s="526"/>
      <c r="W109" s="526"/>
      <c r="X109" s="4003"/>
      <c r="Y109" s="4124"/>
    </row>
    <row r="110" spans="1:29" s="1230" customFormat="1" ht="13.5" thickBot="1">
      <c r="A110" s="4180"/>
      <c r="B110" s="528" t="s">
        <v>33</v>
      </c>
      <c r="C110" s="4137"/>
      <c r="D110" s="456">
        <f>M110+O110+P110+Q110+R110+S110+T110+U110+V110+W110</f>
        <v>7807613</v>
      </c>
      <c r="E110" s="476">
        <v>0</v>
      </c>
      <c r="F110" s="476"/>
      <c r="G110" s="476"/>
      <c r="H110" s="476"/>
      <c r="I110" s="476">
        <v>0</v>
      </c>
      <c r="J110" s="476">
        <v>2655274</v>
      </c>
      <c r="K110" s="476">
        <v>4728175</v>
      </c>
      <c r="L110" s="476">
        <f>424625-461</f>
        <v>424164</v>
      </c>
      <c r="M110" s="457">
        <f>+E110+I110+J110+K110+L110+N110</f>
        <v>7807613</v>
      </c>
      <c r="N110" s="476">
        <v>0</v>
      </c>
      <c r="O110" s="476">
        <v>0</v>
      </c>
      <c r="P110" s="503">
        <v>0</v>
      </c>
      <c r="Q110" s="503"/>
      <c r="R110" s="503"/>
      <c r="S110" s="503"/>
      <c r="T110" s="474"/>
      <c r="U110" s="474"/>
      <c r="V110" s="474"/>
      <c r="W110" s="474"/>
      <c r="X110" s="4004"/>
      <c r="Y110" s="4125"/>
    </row>
    <row r="111" spans="1:29" s="1230" customFormat="1" ht="25.5" customHeight="1">
      <c r="A111" s="4091" t="s">
        <v>82</v>
      </c>
      <c r="B111" s="2270" t="s">
        <v>581</v>
      </c>
      <c r="C111" s="480" t="s">
        <v>98</v>
      </c>
      <c r="D111" s="481"/>
      <c r="E111" s="483"/>
      <c r="F111" s="482"/>
      <c r="G111" s="482"/>
      <c r="H111" s="483"/>
      <c r="I111" s="444"/>
      <c r="J111" s="443"/>
      <c r="K111" s="443"/>
      <c r="L111" s="444"/>
      <c r="M111" s="444"/>
      <c r="N111" s="443"/>
      <c r="O111" s="443"/>
      <c r="P111" s="443"/>
      <c r="Q111" s="443"/>
      <c r="R111" s="443"/>
      <c r="S111" s="1144"/>
      <c r="T111" s="444"/>
      <c r="U111" s="1144"/>
      <c r="V111" s="1144"/>
      <c r="W111" s="1144"/>
      <c r="X111" s="484"/>
      <c r="Y111" s="447" t="s">
        <v>99</v>
      </c>
      <c r="AC111" s="1231"/>
    </row>
    <row r="112" spans="1:29" s="1230" customFormat="1" ht="15" customHeight="1">
      <c r="A112" s="4071"/>
      <c r="B112" s="2275" t="s">
        <v>22</v>
      </c>
      <c r="C112" s="382"/>
      <c r="D112" s="1952">
        <f>+D113+D116</f>
        <v>43721404</v>
      </c>
      <c r="E112" s="485">
        <f>+E113+E116</f>
        <v>123795</v>
      </c>
      <c r="F112" s="485">
        <f t="shared" ref="F112:P112" si="150">+F113+F116</f>
        <v>32804</v>
      </c>
      <c r="G112" s="485">
        <f t="shared" si="150"/>
        <v>90000</v>
      </c>
      <c r="H112" s="485">
        <f t="shared" si="150"/>
        <v>991</v>
      </c>
      <c r="I112" s="485">
        <f t="shared" si="150"/>
        <v>0</v>
      </c>
      <c r="J112" s="485">
        <f t="shared" si="150"/>
        <v>64525</v>
      </c>
      <c r="K112" s="485">
        <f t="shared" si="150"/>
        <v>348320</v>
      </c>
      <c r="L112" s="485">
        <f t="shared" si="150"/>
        <v>23596094</v>
      </c>
      <c r="M112" s="485">
        <f t="shared" ref="M112" si="151">+M113+M116</f>
        <v>43214290</v>
      </c>
      <c r="N112" s="485">
        <f t="shared" si="150"/>
        <v>19081556</v>
      </c>
      <c r="O112" s="1952">
        <f t="shared" si="150"/>
        <v>107114</v>
      </c>
      <c r="P112" s="485">
        <f t="shared" si="150"/>
        <v>400000</v>
      </c>
      <c r="Q112" s="485"/>
      <c r="R112" s="485"/>
      <c r="S112" s="485"/>
      <c r="T112" s="485"/>
      <c r="U112" s="485"/>
      <c r="V112" s="485"/>
      <c r="W112" s="485"/>
      <c r="X112" s="487">
        <f>+X113+X116</f>
        <v>400000</v>
      </c>
      <c r="Y112" s="3901" t="s">
        <v>100</v>
      </c>
      <c r="Z112" s="1229"/>
      <c r="AA112" s="1229"/>
      <c r="AB112" s="1229"/>
      <c r="AC112" s="1229"/>
    </row>
    <row r="113" spans="1:26" s="1230" customFormat="1" ht="12" customHeight="1">
      <c r="A113" s="4071"/>
      <c r="B113" s="2276" t="s">
        <v>36</v>
      </c>
      <c r="C113" s="4129" t="s">
        <v>101</v>
      </c>
      <c r="D113" s="1955">
        <f>+D114+D115</f>
        <v>4574325</v>
      </c>
      <c r="E113" s="488">
        <f t="shared" ref="E113:P113" si="152">+E114+E115</f>
        <v>74668</v>
      </c>
      <c r="F113" s="488">
        <f>+F114+F115</f>
        <v>32804</v>
      </c>
      <c r="G113" s="488">
        <f t="shared" si="152"/>
        <v>41781</v>
      </c>
      <c r="H113" s="488">
        <f t="shared" si="152"/>
        <v>83</v>
      </c>
      <c r="I113" s="488">
        <f t="shared" si="152"/>
        <v>0</v>
      </c>
      <c r="J113" s="488">
        <f t="shared" si="152"/>
        <v>29956</v>
      </c>
      <c r="K113" s="488">
        <f t="shared" si="152"/>
        <v>214004</v>
      </c>
      <c r="L113" s="488">
        <f t="shared" si="152"/>
        <v>2137011</v>
      </c>
      <c r="M113" s="488">
        <f t="shared" ref="M113" si="153">+M114+M115</f>
        <v>4100366</v>
      </c>
      <c r="N113" s="488">
        <f t="shared" si="152"/>
        <v>1644727</v>
      </c>
      <c r="O113" s="1955">
        <f t="shared" si="152"/>
        <v>73959</v>
      </c>
      <c r="P113" s="488">
        <f t="shared" si="152"/>
        <v>400000</v>
      </c>
      <c r="Q113" s="488"/>
      <c r="R113" s="488"/>
      <c r="S113" s="488"/>
      <c r="T113" s="488"/>
      <c r="U113" s="488"/>
      <c r="V113" s="488"/>
      <c r="W113" s="488"/>
      <c r="X113" s="489">
        <f>+X114+X115</f>
        <v>400000</v>
      </c>
      <c r="Y113" s="3901"/>
    </row>
    <row r="114" spans="1:26" s="1230" customFormat="1" ht="12" customHeight="1">
      <c r="A114" s="4071"/>
      <c r="B114" s="2426" t="s">
        <v>24</v>
      </c>
      <c r="C114" s="4136"/>
      <c r="D114" s="1958">
        <f t="shared" ref="D114:D117" si="154">M114+O114+P114+Q114+R114+S114+T114+U114+V114+W114</f>
        <v>995287</v>
      </c>
      <c r="E114" s="463">
        <f>SUM(F114:H114)</f>
        <v>70177</v>
      </c>
      <c r="F114" s="464">
        <v>32804</v>
      </c>
      <c r="G114" s="536">
        <v>37373</v>
      </c>
      <c r="H114" s="501">
        <v>0</v>
      </c>
      <c r="I114" s="537">
        <v>0</v>
      </c>
      <c r="J114" s="501">
        <v>26795</v>
      </c>
      <c r="K114" s="501">
        <v>201724</v>
      </c>
      <c r="L114" s="537">
        <f>569196-394091</f>
        <v>175105</v>
      </c>
      <c r="M114" s="457">
        <f t="shared" ref="M114:M115" si="155">+E114+I114+J114+K114+L114+N114</f>
        <v>524359</v>
      </c>
      <c r="N114" s="537">
        <f>11682038-350000-44502+1878075-1251700+2734240+1522270-9727593-252893+2958342-1085184-1071136-332514-1172002-5436883</f>
        <v>50558</v>
      </c>
      <c r="O114" s="2828">
        <f>607727+141130-360710-252813-64406</f>
        <v>70928</v>
      </c>
      <c r="P114" s="537">
        <v>400000</v>
      </c>
      <c r="Q114" s="464"/>
      <c r="R114" s="464"/>
      <c r="S114" s="464"/>
      <c r="T114" s="464"/>
      <c r="U114" s="464"/>
      <c r="V114" s="464"/>
      <c r="W114" s="464"/>
      <c r="X114" s="416">
        <f>SUM(P114:T114)</f>
        <v>400000</v>
      </c>
      <c r="Y114" s="3901"/>
    </row>
    <row r="115" spans="1:26" s="1230" customFormat="1" ht="12" customHeight="1">
      <c r="A115" s="4071"/>
      <c r="B115" s="510" t="s">
        <v>29</v>
      </c>
      <c r="C115" s="4136"/>
      <c r="D115" s="456">
        <f t="shared" si="154"/>
        <v>3579038</v>
      </c>
      <c r="E115" s="463">
        <f>SUM(F115:H115)</f>
        <v>4491</v>
      </c>
      <c r="F115" s="464"/>
      <c r="G115" s="536">
        <v>4408</v>
      </c>
      <c r="H115" s="537">
        <v>83</v>
      </c>
      <c r="I115" s="537">
        <v>0</v>
      </c>
      <c r="J115" s="537">
        <v>3161</v>
      </c>
      <c r="K115" s="537">
        <v>12280</v>
      </c>
      <c r="L115" s="537">
        <v>1961906</v>
      </c>
      <c r="M115" s="457">
        <f t="shared" si="155"/>
        <v>3576007</v>
      </c>
      <c r="N115" s="464">
        <f>982154+1925+11925+228580+233248-12123-155430+25377-7406+285919</f>
        <v>1594169</v>
      </c>
      <c r="O115" s="464">
        <f>13517-9987-499</f>
        <v>3031</v>
      </c>
      <c r="P115" s="464">
        <v>0</v>
      </c>
      <c r="Q115" s="464"/>
      <c r="R115" s="464"/>
      <c r="S115" s="464"/>
      <c r="T115" s="464"/>
      <c r="U115" s="464"/>
      <c r="V115" s="464"/>
      <c r="W115" s="464"/>
      <c r="X115" s="416">
        <f>SUM(P115:T115)</f>
        <v>0</v>
      </c>
      <c r="Y115" s="3901"/>
    </row>
    <row r="116" spans="1:26" s="1230" customFormat="1" ht="12" customHeight="1">
      <c r="A116" s="4071"/>
      <c r="B116" s="511" t="s">
        <v>30</v>
      </c>
      <c r="C116" s="4136"/>
      <c r="D116" s="466">
        <f>+D117</f>
        <v>39147079</v>
      </c>
      <c r="E116" s="466">
        <f t="shared" ref="E116:P116" si="156">+E117</f>
        <v>49127</v>
      </c>
      <c r="F116" s="466">
        <f t="shared" si="156"/>
        <v>0</v>
      </c>
      <c r="G116" s="538">
        <f t="shared" si="156"/>
        <v>48219</v>
      </c>
      <c r="H116" s="466">
        <f t="shared" si="156"/>
        <v>908</v>
      </c>
      <c r="I116" s="466">
        <f t="shared" si="156"/>
        <v>0</v>
      </c>
      <c r="J116" s="466">
        <f>+J117</f>
        <v>34569</v>
      </c>
      <c r="K116" s="466">
        <f t="shared" si="156"/>
        <v>134316</v>
      </c>
      <c r="L116" s="466">
        <f t="shared" si="156"/>
        <v>21459083</v>
      </c>
      <c r="M116" s="466">
        <f t="shared" si="156"/>
        <v>39113924</v>
      </c>
      <c r="N116" s="466">
        <f t="shared" si="156"/>
        <v>17436829</v>
      </c>
      <c r="O116" s="466">
        <f t="shared" si="156"/>
        <v>33155</v>
      </c>
      <c r="P116" s="466">
        <f t="shared" si="156"/>
        <v>0</v>
      </c>
      <c r="Q116" s="466"/>
      <c r="R116" s="466"/>
      <c r="S116" s="466"/>
      <c r="T116" s="466"/>
      <c r="U116" s="466"/>
      <c r="V116" s="466"/>
      <c r="W116" s="466"/>
      <c r="X116" s="489">
        <f>+X117</f>
        <v>0</v>
      </c>
      <c r="Y116" s="3901"/>
    </row>
    <row r="117" spans="1:26" s="1230" customFormat="1" ht="12" customHeight="1">
      <c r="A117" s="4071"/>
      <c r="B117" s="510" t="s">
        <v>33</v>
      </c>
      <c r="C117" s="1280"/>
      <c r="D117" s="1648">
        <f t="shared" si="154"/>
        <v>39147079</v>
      </c>
      <c r="E117" s="463">
        <f>SUM(F117:H117)</f>
        <v>49127</v>
      </c>
      <c r="F117" s="464">
        <v>0</v>
      </c>
      <c r="G117" s="539">
        <v>48219</v>
      </c>
      <c r="H117" s="501">
        <v>908</v>
      </c>
      <c r="I117" s="501">
        <v>0</v>
      </c>
      <c r="J117" s="501">
        <v>34569</v>
      </c>
      <c r="K117" s="501">
        <v>134316</v>
      </c>
      <c r="L117" s="464">
        <v>21459083</v>
      </c>
      <c r="M117" s="457">
        <f>+E117+I117+J117+K117+L117+N117</f>
        <v>39113924</v>
      </c>
      <c r="N117" s="464">
        <f>5115033+42577-1878075+1239775+1037180+1824245+9752343+252893-1802912+559807+287542+332514+673907</f>
        <v>17436829</v>
      </c>
      <c r="O117" s="464">
        <f>169756-131143-5458</f>
        <v>33155</v>
      </c>
      <c r="P117" s="464">
        <v>0</v>
      </c>
      <c r="Q117" s="464"/>
      <c r="R117" s="464"/>
      <c r="S117" s="464"/>
      <c r="T117" s="464"/>
      <c r="U117" s="464"/>
      <c r="V117" s="464"/>
      <c r="W117" s="464"/>
      <c r="X117" s="416">
        <f>SUM(P117:T117)</f>
        <v>0</v>
      </c>
      <c r="Y117" s="4073"/>
    </row>
    <row r="118" spans="1:26" s="1230" customFormat="1" ht="12" customHeight="1">
      <c r="A118" s="4071"/>
      <c r="B118" s="2869" t="s">
        <v>34</v>
      </c>
      <c r="C118" s="545"/>
      <c r="D118" s="546">
        <f t="shared" ref="D118:P118" si="157">+D121+D119</f>
        <v>42726117</v>
      </c>
      <c r="E118" s="546">
        <f t="shared" si="157"/>
        <v>0</v>
      </c>
      <c r="F118" s="546">
        <f t="shared" si="157"/>
        <v>0</v>
      </c>
      <c r="G118" s="546">
        <f t="shared" si="157"/>
        <v>0</v>
      </c>
      <c r="H118" s="546">
        <f t="shared" si="157"/>
        <v>0</v>
      </c>
      <c r="I118" s="546">
        <f t="shared" si="157"/>
        <v>0</v>
      </c>
      <c r="J118" s="546">
        <f t="shared" si="157"/>
        <v>0</v>
      </c>
      <c r="K118" s="546">
        <f t="shared" si="157"/>
        <v>0</v>
      </c>
      <c r="L118" s="546">
        <f t="shared" si="157"/>
        <v>0</v>
      </c>
      <c r="M118" s="546">
        <f t="shared" ref="M118" si="158">+M121+M119</f>
        <v>38151329</v>
      </c>
      <c r="N118" s="546">
        <f t="shared" si="157"/>
        <v>38151329</v>
      </c>
      <c r="O118" s="2813">
        <f t="shared" si="157"/>
        <v>4563917</v>
      </c>
      <c r="P118" s="2813">
        <f t="shared" si="157"/>
        <v>10871</v>
      </c>
      <c r="Q118" s="546"/>
      <c r="R118" s="546"/>
      <c r="S118" s="546"/>
      <c r="T118" s="546"/>
      <c r="U118" s="546"/>
      <c r="V118" s="546"/>
      <c r="W118" s="546"/>
      <c r="X118" s="4003" t="s">
        <v>35</v>
      </c>
      <c r="Y118" s="4160" t="s">
        <v>416</v>
      </c>
    </row>
    <row r="119" spans="1:26" s="1230" customFormat="1" ht="12" customHeight="1">
      <c r="A119" s="4071"/>
      <c r="B119" s="2853" t="s">
        <v>36</v>
      </c>
      <c r="C119" s="4129" t="s">
        <v>102</v>
      </c>
      <c r="D119" s="466">
        <f t="shared" ref="D119:P119" si="159">+D120</f>
        <v>3579038</v>
      </c>
      <c r="E119" s="466">
        <f t="shared" si="159"/>
        <v>0</v>
      </c>
      <c r="F119" s="466">
        <f t="shared" si="159"/>
        <v>0</v>
      </c>
      <c r="G119" s="466">
        <f t="shared" si="159"/>
        <v>0</v>
      </c>
      <c r="H119" s="466">
        <f t="shared" si="159"/>
        <v>0</v>
      </c>
      <c r="I119" s="466">
        <f t="shared" si="159"/>
        <v>0</v>
      </c>
      <c r="J119" s="466">
        <f t="shared" si="159"/>
        <v>0</v>
      </c>
      <c r="K119" s="466">
        <f t="shared" si="159"/>
        <v>0</v>
      </c>
      <c r="L119" s="466">
        <f t="shared" si="159"/>
        <v>0</v>
      </c>
      <c r="M119" s="466">
        <f t="shared" si="159"/>
        <v>2875044</v>
      </c>
      <c r="N119" s="466">
        <f t="shared" si="159"/>
        <v>2875044</v>
      </c>
      <c r="O119" s="1811">
        <f t="shared" si="159"/>
        <v>703083</v>
      </c>
      <c r="P119" s="1811">
        <f t="shared" si="159"/>
        <v>911</v>
      </c>
      <c r="Q119" s="466"/>
      <c r="R119" s="466"/>
      <c r="S119" s="466"/>
      <c r="T119" s="466"/>
      <c r="U119" s="466"/>
      <c r="V119" s="466"/>
      <c r="W119" s="466"/>
      <c r="X119" s="4003"/>
      <c r="Y119" s="3901"/>
    </row>
    <row r="120" spans="1:26" s="1230" customFormat="1" ht="12" customHeight="1">
      <c r="A120" s="4071"/>
      <c r="B120" s="2805" t="s">
        <v>29</v>
      </c>
      <c r="C120" s="4136"/>
      <c r="D120" s="456">
        <f t="shared" ref="D120" si="160">M120+O120+P120+Q120+R120+S120+T120+U120+V120+W120</f>
        <v>3579038</v>
      </c>
      <c r="E120" s="473">
        <f>+F120+G120+H120</f>
        <v>0</v>
      </c>
      <c r="F120" s="473">
        <v>0</v>
      </c>
      <c r="G120" s="473">
        <v>0</v>
      </c>
      <c r="H120" s="473">
        <v>0</v>
      </c>
      <c r="I120" s="473">
        <v>0</v>
      </c>
      <c r="J120" s="473"/>
      <c r="K120" s="473"/>
      <c r="L120" s="473">
        <f>1127582+26462-251100-902944</f>
        <v>0</v>
      </c>
      <c r="M120" s="457">
        <f t="shared" ref="M120" si="161">+E120+I120+J120+K120+L120+N120</f>
        <v>2875044</v>
      </c>
      <c r="N120" s="473">
        <f>1701861-26462+251100+902944+28680+2812-105495+119604</f>
        <v>2875044</v>
      </c>
      <c r="O120" s="1817">
        <f>158254+7110-119604+658733-499-911</f>
        <v>703083</v>
      </c>
      <c r="P120" s="2817">
        <v>911</v>
      </c>
      <c r="Q120" s="474"/>
      <c r="R120" s="474"/>
      <c r="S120" s="474"/>
      <c r="T120" s="474"/>
      <c r="U120" s="474"/>
      <c r="V120" s="474"/>
      <c r="W120" s="474"/>
      <c r="X120" s="4003"/>
      <c r="Y120" s="3901"/>
    </row>
    <row r="121" spans="1:26" s="1230" customFormat="1" ht="12" customHeight="1">
      <c r="A121" s="4071"/>
      <c r="B121" s="2866" t="s">
        <v>30</v>
      </c>
      <c r="C121" s="4136"/>
      <c r="D121" s="518">
        <f>+D122</f>
        <v>39147079</v>
      </c>
      <c r="E121" s="518">
        <f t="shared" ref="E121:P121" si="162">+E122</f>
        <v>0</v>
      </c>
      <c r="F121" s="518">
        <f t="shared" si="162"/>
        <v>0</v>
      </c>
      <c r="G121" s="518">
        <f t="shared" si="162"/>
        <v>0</v>
      </c>
      <c r="H121" s="518">
        <f t="shared" si="162"/>
        <v>0</v>
      </c>
      <c r="I121" s="518">
        <f t="shared" si="162"/>
        <v>0</v>
      </c>
      <c r="J121" s="518">
        <f t="shared" si="162"/>
        <v>0</v>
      </c>
      <c r="K121" s="518">
        <f t="shared" si="162"/>
        <v>0</v>
      </c>
      <c r="L121" s="518">
        <f t="shared" si="162"/>
        <v>0</v>
      </c>
      <c r="M121" s="518">
        <f t="shared" si="162"/>
        <v>35276285</v>
      </c>
      <c r="N121" s="518">
        <f t="shared" si="162"/>
        <v>35276285</v>
      </c>
      <c r="O121" s="1967">
        <f t="shared" si="162"/>
        <v>3860834</v>
      </c>
      <c r="P121" s="1967">
        <f t="shared" si="162"/>
        <v>9960</v>
      </c>
      <c r="Q121" s="518"/>
      <c r="R121" s="518"/>
      <c r="S121" s="518"/>
      <c r="T121" s="518"/>
      <c r="U121" s="518"/>
      <c r="V121" s="518"/>
      <c r="W121" s="518"/>
      <c r="X121" s="4003"/>
      <c r="Y121" s="3901"/>
    </row>
    <row r="122" spans="1:26" s="1230" customFormat="1" ht="12" customHeight="1" thickBot="1">
      <c r="A122" s="4072"/>
      <c r="B122" s="2867" t="s">
        <v>33</v>
      </c>
      <c r="C122" s="4137"/>
      <c r="D122" s="1652">
        <f t="shared" ref="D122" si="163">M122+O122+P122+Q122+R122+S122+T122+U122+V122+W122</f>
        <v>39147079</v>
      </c>
      <c r="E122" s="498">
        <f>+F122+G122+H122</f>
        <v>0</v>
      </c>
      <c r="F122" s="540">
        <v>0</v>
      </c>
      <c r="G122" s="540">
        <v>0</v>
      </c>
      <c r="H122" s="540">
        <v>0</v>
      </c>
      <c r="I122" s="540">
        <v>0</v>
      </c>
      <c r="J122" s="540">
        <v>0</v>
      </c>
      <c r="K122" s="540">
        <v>0</v>
      </c>
      <c r="L122" s="540">
        <f>5872418-2026462+251100-4097056</f>
        <v>0</v>
      </c>
      <c r="M122" s="1652">
        <f t="shared" ref="M122" si="164">+E122+I122+J122+K122+L122+N122</f>
        <v>35276285</v>
      </c>
      <c r="N122" s="540">
        <f>8863251+93584-3373414+3157951+4097056+896030+20170438+500453+146951-743533+1467518</f>
        <v>35276285</v>
      </c>
      <c r="O122" s="2726">
        <f>1941746+932070-1135004+2137440-5458-9960</f>
        <v>3860834</v>
      </c>
      <c r="P122" s="2868">
        <v>9960</v>
      </c>
      <c r="Q122" s="541"/>
      <c r="R122" s="541"/>
      <c r="S122" s="541"/>
      <c r="T122" s="541"/>
      <c r="U122" s="541"/>
      <c r="V122" s="541"/>
      <c r="W122" s="541"/>
      <c r="X122" s="4004"/>
      <c r="Y122" s="3902"/>
    </row>
    <row r="123" spans="1:26" hidden="1">
      <c r="A123" s="4091"/>
      <c r="B123" s="3126"/>
      <c r="C123" s="441" t="s">
        <v>98</v>
      </c>
      <c r="D123" s="482"/>
      <c r="E123" s="483"/>
      <c r="F123" s="482"/>
      <c r="G123" s="483"/>
      <c r="H123" s="483"/>
      <c r="I123" s="443"/>
      <c r="J123" s="443"/>
      <c r="K123" s="443"/>
      <c r="L123" s="443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6"/>
      <c r="Y123" s="542"/>
    </row>
    <row r="124" spans="1:26" ht="13.5" hidden="1" customHeight="1">
      <c r="A124" s="4071"/>
      <c r="B124" s="3127" t="s">
        <v>22</v>
      </c>
      <c r="C124" s="382"/>
      <c r="D124" s="485">
        <f t="shared" ref="D124:P124" si="165">+D125+D127</f>
        <v>0</v>
      </c>
      <c r="E124" s="486">
        <f t="shared" si="165"/>
        <v>0</v>
      </c>
      <c r="F124" s="485">
        <f t="shared" si="165"/>
        <v>0</v>
      </c>
      <c r="G124" s="486">
        <f t="shared" si="165"/>
        <v>0</v>
      </c>
      <c r="H124" s="486">
        <f t="shared" si="165"/>
        <v>0</v>
      </c>
      <c r="I124" s="486">
        <f t="shared" si="165"/>
        <v>0</v>
      </c>
      <c r="J124" s="486">
        <f t="shared" si="165"/>
        <v>0</v>
      </c>
      <c r="K124" s="486">
        <f t="shared" si="165"/>
        <v>0</v>
      </c>
      <c r="L124" s="486">
        <f t="shared" si="165"/>
        <v>0</v>
      </c>
      <c r="M124" s="486">
        <f t="shared" ref="M124" si="166">+M125+M127</f>
        <v>0</v>
      </c>
      <c r="N124" s="486">
        <f t="shared" si="165"/>
        <v>0</v>
      </c>
      <c r="O124" s="486">
        <f t="shared" si="165"/>
        <v>0</v>
      </c>
      <c r="P124" s="486">
        <f t="shared" si="165"/>
        <v>0</v>
      </c>
      <c r="Q124" s="486"/>
      <c r="R124" s="486"/>
      <c r="S124" s="486"/>
      <c r="T124" s="486"/>
      <c r="U124" s="486"/>
      <c r="V124" s="486"/>
      <c r="W124" s="486"/>
      <c r="X124" s="487">
        <f>+X125+X127</f>
        <v>0</v>
      </c>
      <c r="Y124" s="3901" t="s">
        <v>104</v>
      </c>
      <c r="Z124" s="1056"/>
    </row>
    <row r="125" spans="1:26" hidden="1">
      <c r="A125" s="4071"/>
      <c r="B125" s="3128" t="s">
        <v>36</v>
      </c>
      <c r="C125" s="4129" t="s">
        <v>101</v>
      </c>
      <c r="D125" s="561">
        <f>+D126</f>
        <v>0</v>
      </c>
      <c r="E125" s="561">
        <f t="shared" ref="E125:P125" si="167">+E126</f>
        <v>0</v>
      </c>
      <c r="F125" s="561">
        <f t="shared" si="167"/>
        <v>0</v>
      </c>
      <c r="G125" s="561">
        <f t="shared" si="167"/>
        <v>0</v>
      </c>
      <c r="H125" s="561">
        <f t="shared" si="167"/>
        <v>0</v>
      </c>
      <c r="I125" s="561">
        <f t="shared" si="167"/>
        <v>0</v>
      </c>
      <c r="J125" s="561">
        <f t="shared" si="167"/>
        <v>0</v>
      </c>
      <c r="K125" s="561">
        <f t="shared" si="167"/>
        <v>0</v>
      </c>
      <c r="L125" s="561">
        <f t="shared" si="167"/>
        <v>0</v>
      </c>
      <c r="M125" s="561">
        <f t="shared" si="167"/>
        <v>0</v>
      </c>
      <c r="N125" s="561">
        <f t="shared" si="167"/>
        <v>0</v>
      </c>
      <c r="O125" s="561">
        <f t="shared" si="167"/>
        <v>0</v>
      </c>
      <c r="P125" s="561">
        <f t="shared" si="167"/>
        <v>0</v>
      </c>
      <c r="Q125" s="561"/>
      <c r="R125" s="561"/>
      <c r="S125" s="561"/>
      <c r="T125" s="561"/>
      <c r="U125" s="561"/>
      <c r="V125" s="561"/>
      <c r="W125" s="561"/>
      <c r="X125" s="509">
        <f>+X126</f>
        <v>0</v>
      </c>
      <c r="Y125" s="3901"/>
      <c r="Z125" s="1056"/>
    </row>
    <row r="126" spans="1:26" hidden="1">
      <c r="A126" s="4071"/>
      <c r="B126" s="3129" t="s">
        <v>24</v>
      </c>
      <c r="C126" s="4130"/>
      <c r="D126" s="456">
        <f t="shared" ref="D126" si="168">M126+O126+P126+Q126+R126+S126+T126+U126+V126+W126</f>
        <v>0</v>
      </c>
      <c r="E126" s="463">
        <f>+F126+G126+H126</f>
        <v>0</v>
      </c>
      <c r="F126" s="464">
        <v>0</v>
      </c>
      <c r="G126" s="463">
        <v>0</v>
      </c>
      <c r="H126" s="501">
        <v>0</v>
      </c>
      <c r="I126" s="501"/>
      <c r="J126" s="501">
        <f>12200-12200</f>
        <v>0</v>
      </c>
      <c r="K126" s="463"/>
      <c r="L126" s="501"/>
      <c r="M126" s="457"/>
      <c r="N126" s="501"/>
      <c r="O126" s="463">
        <v>0</v>
      </c>
      <c r="P126" s="464">
        <v>0</v>
      </c>
      <c r="Q126" s="464"/>
      <c r="R126" s="464"/>
      <c r="S126" s="464"/>
      <c r="T126" s="464"/>
      <c r="U126" s="464"/>
      <c r="V126" s="464"/>
      <c r="W126" s="464"/>
      <c r="X126" s="416">
        <f>SUM(P126:T126)</f>
        <v>0</v>
      </c>
      <c r="Y126" s="3901"/>
    </row>
    <row r="127" spans="1:26" hidden="1">
      <c r="A127" s="4071"/>
      <c r="B127" s="3130" t="s">
        <v>30</v>
      </c>
      <c r="C127" s="4130"/>
      <c r="D127" s="466">
        <f>+D128</f>
        <v>0</v>
      </c>
      <c r="E127" s="466">
        <f t="shared" ref="E127:P127" si="169">+E128</f>
        <v>0</v>
      </c>
      <c r="F127" s="466">
        <f t="shared" si="169"/>
        <v>0</v>
      </c>
      <c r="G127" s="466">
        <f t="shared" si="169"/>
        <v>0</v>
      </c>
      <c r="H127" s="466">
        <f t="shared" si="169"/>
        <v>0</v>
      </c>
      <c r="I127" s="466">
        <f t="shared" si="169"/>
        <v>0</v>
      </c>
      <c r="J127" s="466">
        <f t="shared" si="169"/>
        <v>0</v>
      </c>
      <c r="K127" s="466">
        <f t="shared" si="169"/>
        <v>0</v>
      </c>
      <c r="L127" s="466">
        <f t="shared" si="169"/>
        <v>0</v>
      </c>
      <c r="M127" s="466">
        <f t="shared" si="169"/>
        <v>0</v>
      </c>
      <c r="N127" s="466">
        <f t="shared" si="169"/>
        <v>0</v>
      </c>
      <c r="O127" s="466">
        <f t="shared" si="169"/>
        <v>0</v>
      </c>
      <c r="P127" s="466">
        <f t="shared" si="169"/>
        <v>0</v>
      </c>
      <c r="Q127" s="466"/>
      <c r="R127" s="466"/>
      <c r="S127" s="466"/>
      <c r="T127" s="466"/>
      <c r="U127" s="466"/>
      <c r="V127" s="466"/>
      <c r="W127" s="466"/>
      <c r="X127" s="509">
        <f>+X128</f>
        <v>0</v>
      </c>
      <c r="Y127" s="3901"/>
    </row>
    <row r="128" spans="1:26" hidden="1">
      <c r="A128" s="4071"/>
      <c r="B128" s="3131" t="s">
        <v>33</v>
      </c>
      <c r="C128" s="4161"/>
      <c r="D128" s="456">
        <f t="shared" ref="D128" si="170">M128+O128+P128+Q128+R128+S128+T128+U128+V128+W128</f>
        <v>0</v>
      </c>
      <c r="E128" s="463">
        <f>+F128+G128+H128</f>
        <v>0</v>
      </c>
      <c r="F128" s="469">
        <v>0</v>
      </c>
      <c r="G128" s="494">
        <v>0</v>
      </c>
      <c r="H128" s="494">
        <v>0</v>
      </c>
      <c r="I128" s="494">
        <f>122000-122000</f>
        <v>0</v>
      </c>
      <c r="J128" s="494"/>
      <c r="K128" s="461"/>
      <c r="L128" s="461"/>
      <c r="M128" s="457"/>
      <c r="N128" s="461"/>
      <c r="O128" s="461">
        <v>0</v>
      </c>
      <c r="P128" s="469">
        <v>0</v>
      </c>
      <c r="Q128" s="469"/>
      <c r="R128" s="469"/>
      <c r="S128" s="469"/>
      <c r="T128" s="469"/>
      <c r="U128" s="469"/>
      <c r="V128" s="469"/>
      <c r="W128" s="469"/>
      <c r="X128" s="416">
        <f>SUM(P128:T128)</f>
        <v>0</v>
      </c>
      <c r="Y128" s="4073"/>
    </row>
    <row r="129" spans="1:26" s="1230" customFormat="1" ht="12.75" hidden="1" customHeight="1">
      <c r="A129" s="4117"/>
      <c r="B129" s="3132" t="s">
        <v>34</v>
      </c>
      <c r="C129" s="382"/>
      <c r="D129" s="471">
        <f>+D130</f>
        <v>0</v>
      </c>
      <c r="E129" s="471">
        <f t="shared" ref="E129:P130" si="171">+E130</f>
        <v>0</v>
      </c>
      <c r="F129" s="471">
        <f t="shared" si="171"/>
        <v>0</v>
      </c>
      <c r="G129" s="471">
        <f t="shared" si="171"/>
        <v>0</v>
      </c>
      <c r="H129" s="471">
        <f t="shared" si="171"/>
        <v>0</v>
      </c>
      <c r="I129" s="471">
        <f t="shared" si="171"/>
        <v>0</v>
      </c>
      <c r="J129" s="471">
        <f t="shared" si="171"/>
        <v>0</v>
      </c>
      <c r="K129" s="471">
        <f t="shared" si="171"/>
        <v>0</v>
      </c>
      <c r="L129" s="471">
        <f t="shared" si="171"/>
        <v>0</v>
      </c>
      <c r="M129" s="471">
        <f t="shared" si="171"/>
        <v>0</v>
      </c>
      <c r="N129" s="471">
        <f t="shared" si="171"/>
        <v>0</v>
      </c>
      <c r="O129" s="471">
        <f t="shared" si="171"/>
        <v>0</v>
      </c>
      <c r="P129" s="471">
        <f t="shared" si="171"/>
        <v>0</v>
      </c>
      <c r="Q129" s="471"/>
      <c r="R129" s="471"/>
      <c r="S129" s="471"/>
      <c r="T129" s="471"/>
      <c r="U129" s="471"/>
      <c r="V129" s="471"/>
      <c r="W129" s="471"/>
      <c r="X129" s="4018" t="s">
        <v>35</v>
      </c>
      <c r="Y129" s="4149" t="s">
        <v>123</v>
      </c>
    </row>
    <row r="130" spans="1:26" s="1232" customFormat="1" ht="12.75" hidden="1" customHeight="1">
      <c r="A130" s="4117"/>
      <c r="B130" s="3133" t="s">
        <v>30</v>
      </c>
      <c r="C130" s="4129" t="s">
        <v>102</v>
      </c>
      <c r="D130" s="518">
        <f>+D131</f>
        <v>0</v>
      </c>
      <c r="E130" s="518">
        <f t="shared" si="171"/>
        <v>0</v>
      </c>
      <c r="F130" s="518">
        <f t="shared" si="171"/>
        <v>0</v>
      </c>
      <c r="G130" s="518">
        <f t="shared" si="171"/>
        <v>0</v>
      </c>
      <c r="H130" s="518">
        <f t="shared" si="171"/>
        <v>0</v>
      </c>
      <c r="I130" s="518">
        <f t="shared" si="171"/>
        <v>0</v>
      </c>
      <c r="J130" s="518">
        <f t="shared" si="171"/>
        <v>0</v>
      </c>
      <c r="K130" s="518">
        <f t="shared" si="171"/>
        <v>0</v>
      </c>
      <c r="L130" s="543">
        <f t="shared" si="171"/>
        <v>0</v>
      </c>
      <c r="M130" s="543">
        <f t="shared" si="171"/>
        <v>0</v>
      </c>
      <c r="N130" s="543">
        <f t="shared" si="171"/>
        <v>0</v>
      </c>
      <c r="O130" s="543">
        <f t="shared" si="171"/>
        <v>0</v>
      </c>
      <c r="P130" s="518">
        <f t="shared" si="171"/>
        <v>0</v>
      </c>
      <c r="Q130" s="518"/>
      <c r="R130" s="518"/>
      <c r="S130" s="518"/>
      <c r="T130" s="518"/>
      <c r="U130" s="518"/>
      <c r="V130" s="518"/>
      <c r="W130" s="518"/>
      <c r="X130" s="4019"/>
      <c r="Y130" s="4124"/>
    </row>
    <row r="131" spans="1:26" s="1230" customFormat="1" ht="13.5" hidden="1" thickBot="1">
      <c r="A131" s="4118"/>
      <c r="B131" s="3134" t="s">
        <v>33</v>
      </c>
      <c r="C131" s="4126"/>
      <c r="D131" s="456">
        <f t="shared" ref="D131" si="172">M131+O131+P131+Q131+R131+S131+T131+U131+V131+W131</f>
        <v>0</v>
      </c>
      <c r="E131" s="504">
        <f>+F131+G131+H131</f>
        <v>0</v>
      </c>
      <c r="F131" s="1420">
        <v>0</v>
      </c>
      <c r="G131" s="564">
        <v>0</v>
      </c>
      <c r="H131" s="564">
        <v>0</v>
      </c>
      <c r="I131" s="564">
        <v>0</v>
      </c>
      <c r="J131" s="564">
        <f>101397-101397</f>
        <v>0</v>
      </c>
      <c r="K131" s="564"/>
      <c r="L131" s="564"/>
      <c r="M131" s="457"/>
      <c r="N131" s="564"/>
      <c r="O131" s="564"/>
      <c r="P131" s="1421">
        <v>0</v>
      </c>
      <c r="Q131" s="522"/>
      <c r="R131" s="522"/>
      <c r="S131" s="522"/>
      <c r="T131" s="522"/>
      <c r="U131" s="522"/>
      <c r="V131" s="522"/>
      <c r="W131" s="522"/>
      <c r="X131" s="4020"/>
      <c r="Y131" s="4125"/>
    </row>
    <row r="132" spans="1:26" ht="21.75" hidden="1" customHeight="1">
      <c r="A132" s="4091"/>
      <c r="B132" s="440"/>
      <c r="C132" s="441" t="s">
        <v>98</v>
      </c>
      <c r="D132" s="442"/>
      <c r="E132" s="565"/>
      <c r="F132" s="565"/>
      <c r="G132" s="566"/>
      <c r="H132" s="566"/>
      <c r="I132" s="566"/>
      <c r="J132" s="566"/>
      <c r="K132" s="566"/>
      <c r="L132" s="566"/>
      <c r="M132" s="445"/>
      <c r="N132" s="445"/>
      <c r="O132" s="445"/>
      <c r="P132" s="445"/>
      <c r="Q132" s="445"/>
      <c r="R132" s="445"/>
      <c r="S132" s="532"/>
      <c r="T132" s="532"/>
      <c r="U132" s="532"/>
      <c r="V132" s="532"/>
      <c r="W132" s="532"/>
      <c r="X132" s="556"/>
      <c r="Y132" s="3900" t="s">
        <v>103</v>
      </c>
    </row>
    <row r="133" spans="1:26" ht="13.5" hidden="1" customHeight="1">
      <c r="A133" s="4071"/>
      <c r="B133" s="406" t="s">
        <v>22</v>
      </c>
      <c r="C133" s="382"/>
      <c r="D133" s="485">
        <f>+D134+D137</f>
        <v>0</v>
      </c>
      <c r="E133" s="485">
        <f t="shared" ref="E133:O133" si="173">+E134+E137</f>
        <v>0</v>
      </c>
      <c r="F133" s="485">
        <f t="shared" si="173"/>
        <v>0</v>
      </c>
      <c r="G133" s="485">
        <f t="shared" si="173"/>
        <v>0</v>
      </c>
      <c r="H133" s="485">
        <f t="shared" si="173"/>
        <v>0</v>
      </c>
      <c r="I133" s="485">
        <f t="shared" si="173"/>
        <v>0</v>
      </c>
      <c r="J133" s="485">
        <f t="shared" si="173"/>
        <v>0</v>
      </c>
      <c r="K133" s="485">
        <f t="shared" si="173"/>
        <v>0</v>
      </c>
      <c r="L133" s="485">
        <f t="shared" si="173"/>
        <v>0</v>
      </c>
      <c r="M133" s="485"/>
      <c r="N133" s="485">
        <f t="shared" si="173"/>
        <v>0</v>
      </c>
      <c r="O133" s="485">
        <f t="shared" si="173"/>
        <v>0</v>
      </c>
      <c r="P133" s="485">
        <f>+P134+P137</f>
        <v>0</v>
      </c>
      <c r="Q133" s="485"/>
      <c r="R133" s="485"/>
      <c r="S133" s="1153"/>
      <c r="T133" s="1153"/>
      <c r="U133" s="1153"/>
      <c r="V133" s="1153"/>
      <c r="W133" s="1153"/>
      <c r="X133" s="548"/>
      <c r="Y133" s="3901"/>
      <c r="Z133" s="1056"/>
    </row>
    <row r="134" spans="1:26" ht="13.5" hidden="1" customHeight="1">
      <c r="A134" s="4071"/>
      <c r="B134" s="452" t="s">
        <v>36</v>
      </c>
      <c r="C134" s="4129" t="s">
        <v>101</v>
      </c>
      <c r="D134" s="567">
        <f>+D135+D136</f>
        <v>0</v>
      </c>
      <c r="E134" s="567">
        <f t="shared" ref="E134:P134" si="174">+E135+E136</f>
        <v>0</v>
      </c>
      <c r="F134" s="567">
        <f t="shared" si="174"/>
        <v>0</v>
      </c>
      <c r="G134" s="567">
        <f t="shared" si="174"/>
        <v>0</v>
      </c>
      <c r="H134" s="567">
        <f t="shared" si="174"/>
        <v>0</v>
      </c>
      <c r="I134" s="567">
        <f t="shared" si="174"/>
        <v>0</v>
      </c>
      <c r="J134" s="567">
        <f t="shared" si="174"/>
        <v>0</v>
      </c>
      <c r="K134" s="567">
        <f t="shared" si="174"/>
        <v>0</v>
      </c>
      <c r="L134" s="567">
        <f t="shared" si="174"/>
        <v>0</v>
      </c>
      <c r="M134" s="567"/>
      <c r="N134" s="567">
        <f t="shared" si="174"/>
        <v>0</v>
      </c>
      <c r="O134" s="567">
        <f t="shared" si="174"/>
        <v>0</v>
      </c>
      <c r="P134" s="567">
        <f t="shared" si="174"/>
        <v>0</v>
      </c>
      <c r="Q134" s="567"/>
      <c r="R134" s="567"/>
      <c r="S134" s="1158"/>
      <c r="T134" s="1158"/>
      <c r="U134" s="1158"/>
      <c r="V134" s="1158"/>
      <c r="W134" s="1158"/>
      <c r="X134" s="490"/>
      <c r="Y134" s="3901"/>
      <c r="Z134" s="1056"/>
    </row>
    <row r="135" spans="1:26" hidden="1">
      <c r="A135" s="4071"/>
      <c r="B135" s="491" t="s">
        <v>24</v>
      </c>
      <c r="C135" s="4130"/>
      <c r="D135" s="473">
        <f>+E135+I135+J135+K135+L135</f>
        <v>0</v>
      </c>
      <c r="E135" s="464">
        <f>+F135+G135+H135</f>
        <v>0</v>
      </c>
      <c r="F135" s="464"/>
      <c r="G135" s="463"/>
      <c r="H135" s="501"/>
      <c r="I135" s="501"/>
      <c r="J135" s="501"/>
      <c r="K135" s="463">
        <v>0</v>
      </c>
      <c r="L135" s="501"/>
      <c r="M135" s="501"/>
      <c r="N135" s="463">
        <v>0</v>
      </c>
      <c r="O135" s="463">
        <v>0</v>
      </c>
      <c r="P135" s="464">
        <v>0</v>
      </c>
      <c r="Q135" s="464"/>
      <c r="R135" s="464"/>
      <c r="S135" s="952"/>
      <c r="T135" s="952"/>
      <c r="U135" s="952"/>
      <c r="V135" s="952"/>
      <c r="W135" s="952"/>
      <c r="X135" s="493"/>
      <c r="Y135" s="3901"/>
    </row>
    <row r="136" spans="1:26" ht="10.5" hidden="1" customHeight="1">
      <c r="A136" s="4071"/>
      <c r="B136" s="549" t="s">
        <v>27</v>
      </c>
      <c r="C136" s="4130"/>
      <c r="D136" s="473">
        <f>+E136+I136+J136+K136+L136</f>
        <v>0</v>
      </c>
      <c r="E136" s="464">
        <f>+F136+G136+H136</f>
        <v>0</v>
      </c>
      <c r="F136" s="461"/>
      <c r="G136" s="461"/>
      <c r="H136" s="494"/>
      <c r="I136" s="494">
        <v>0</v>
      </c>
      <c r="J136" s="494"/>
      <c r="K136" s="461">
        <v>0</v>
      </c>
      <c r="L136" s="461">
        <v>0</v>
      </c>
      <c r="M136" s="461"/>
      <c r="N136" s="461">
        <v>0</v>
      </c>
      <c r="O136" s="461">
        <v>0</v>
      </c>
      <c r="P136" s="461">
        <v>0</v>
      </c>
      <c r="Q136" s="461"/>
      <c r="R136" s="461"/>
      <c r="S136" s="952"/>
      <c r="T136" s="952"/>
      <c r="U136" s="952"/>
      <c r="V136" s="952"/>
      <c r="W136" s="952"/>
      <c r="X136" s="493"/>
      <c r="Y136" s="3901"/>
    </row>
    <row r="137" spans="1:26" ht="12.75" hidden="1" customHeight="1">
      <c r="A137" s="4071"/>
      <c r="B137" s="525" t="s">
        <v>30</v>
      </c>
      <c r="C137" s="4130"/>
      <c r="D137" s="466">
        <f>+D138</f>
        <v>0</v>
      </c>
      <c r="E137" s="466">
        <f t="shared" ref="E137:P137" si="175">+E138</f>
        <v>0</v>
      </c>
      <c r="F137" s="466">
        <f t="shared" si="175"/>
        <v>0</v>
      </c>
      <c r="G137" s="466">
        <f t="shared" si="175"/>
        <v>0</v>
      </c>
      <c r="H137" s="466">
        <f t="shared" si="175"/>
        <v>0</v>
      </c>
      <c r="I137" s="466">
        <f t="shared" si="175"/>
        <v>0</v>
      </c>
      <c r="J137" s="466">
        <f t="shared" si="175"/>
        <v>0</v>
      </c>
      <c r="K137" s="466">
        <f t="shared" si="175"/>
        <v>0</v>
      </c>
      <c r="L137" s="466">
        <f t="shared" si="175"/>
        <v>0</v>
      </c>
      <c r="M137" s="466"/>
      <c r="N137" s="466">
        <f t="shared" si="175"/>
        <v>0</v>
      </c>
      <c r="O137" s="466">
        <f t="shared" si="175"/>
        <v>0</v>
      </c>
      <c r="P137" s="466">
        <f t="shared" si="175"/>
        <v>0</v>
      </c>
      <c r="Q137" s="466"/>
      <c r="R137" s="466"/>
      <c r="S137" s="1156"/>
      <c r="T137" s="1156"/>
      <c r="U137" s="1156"/>
      <c r="V137" s="1156"/>
      <c r="W137" s="1156"/>
      <c r="X137" s="490"/>
      <c r="Y137" s="3901"/>
    </row>
    <row r="138" spans="1:26" ht="11.25" hidden="1" customHeight="1">
      <c r="A138" s="4071"/>
      <c r="B138" s="568" t="s">
        <v>33</v>
      </c>
      <c r="C138" s="4161"/>
      <c r="D138" s="460">
        <f>+E138+I138+J138+K138+L138</f>
        <v>0</v>
      </c>
      <c r="E138" s="461">
        <f>+F138+G138+H138</f>
        <v>0</v>
      </c>
      <c r="F138" s="469">
        <v>0</v>
      </c>
      <c r="G138" s="494"/>
      <c r="H138" s="494"/>
      <c r="I138" s="494"/>
      <c r="J138" s="494"/>
      <c r="K138" s="494">
        <v>0</v>
      </c>
      <c r="L138" s="461">
        <v>0</v>
      </c>
      <c r="M138" s="461"/>
      <c r="N138" s="461">
        <v>0</v>
      </c>
      <c r="O138" s="461">
        <v>0</v>
      </c>
      <c r="P138" s="469">
        <v>0</v>
      </c>
      <c r="Q138" s="469"/>
      <c r="R138" s="469"/>
      <c r="S138" s="952"/>
      <c r="T138" s="952"/>
      <c r="U138" s="952"/>
      <c r="V138" s="952"/>
      <c r="W138" s="952"/>
      <c r="X138" s="493"/>
      <c r="Y138" s="3901"/>
    </row>
    <row r="139" spans="1:26" s="1230" customFormat="1" ht="12.75" hidden="1" customHeight="1">
      <c r="A139" s="4117"/>
      <c r="B139" s="381" t="s">
        <v>34</v>
      </c>
      <c r="C139" s="382"/>
      <c r="D139" s="471">
        <f>+D142+D140</f>
        <v>0</v>
      </c>
      <c r="E139" s="471">
        <f t="shared" ref="E139:P139" si="176">+E142+E140</f>
        <v>0</v>
      </c>
      <c r="F139" s="471">
        <f t="shared" si="176"/>
        <v>0</v>
      </c>
      <c r="G139" s="471">
        <f t="shared" si="176"/>
        <v>0</v>
      </c>
      <c r="H139" s="471">
        <f t="shared" si="176"/>
        <v>0</v>
      </c>
      <c r="I139" s="471">
        <f t="shared" si="176"/>
        <v>0</v>
      </c>
      <c r="J139" s="471">
        <f t="shared" si="176"/>
        <v>0</v>
      </c>
      <c r="K139" s="471">
        <f t="shared" si="176"/>
        <v>0</v>
      </c>
      <c r="L139" s="471">
        <f t="shared" si="176"/>
        <v>0</v>
      </c>
      <c r="M139" s="471"/>
      <c r="N139" s="471">
        <f t="shared" si="176"/>
        <v>0</v>
      </c>
      <c r="O139" s="471">
        <f t="shared" si="176"/>
        <v>0</v>
      </c>
      <c r="P139" s="471">
        <f t="shared" si="176"/>
        <v>0</v>
      </c>
      <c r="Q139" s="471"/>
      <c r="R139" s="471"/>
      <c r="S139" s="620"/>
      <c r="T139" s="620"/>
      <c r="U139" s="620"/>
      <c r="V139" s="620"/>
      <c r="W139" s="620"/>
      <c r="X139" s="551"/>
      <c r="Y139" s="4127"/>
    </row>
    <row r="140" spans="1:26" ht="13.5" hidden="1" customHeight="1">
      <c r="A140" s="4117"/>
      <c r="B140" s="452" t="s">
        <v>36</v>
      </c>
      <c r="C140" s="4129" t="s">
        <v>102</v>
      </c>
      <c r="D140" s="472">
        <f>+D141</f>
        <v>0</v>
      </c>
      <c r="E140" s="472">
        <f t="shared" ref="E140:P140" si="177">+E141</f>
        <v>0</v>
      </c>
      <c r="F140" s="472">
        <f t="shared" si="177"/>
        <v>0</v>
      </c>
      <c r="G140" s="472">
        <f t="shared" si="177"/>
        <v>0</v>
      </c>
      <c r="H140" s="472">
        <f t="shared" si="177"/>
        <v>0</v>
      </c>
      <c r="I140" s="472">
        <f t="shared" si="177"/>
        <v>0</v>
      </c>
      <c r="J140" s="472">
        <f t="shared" si="177"/>
        <v>0</v>
      </c>
      <c r="K140" s="472">
        <f t="shared" si="177"/>
        <v>0</v>
      </c>
      <c r="L140" s="472">
        <f t="shared" si="177"/>
        <v>0</v>
      </c>
      <c r="M140" s="472"/>
      <c r="N140" s="472">
        <f t="shared" si="177"/>
        <v>0</v>
      </c>
      <c r="O140" s="472">
        <f t="shared" si="177"/>
        <v>0</v>
      </c>
      <c r="P140" s="472">
        <f t="shared" si="177"/>
        <v>0</v>
      </c>
      <c r="Q140" s="472"/>
      <c r="R140" s="472"/>
      <c r="S140" s="1156"/>
      <c r="T140" s="1156"/>
      <c r="U140" s="1156"/>
      <c r="V140" s="1156"/>
      <c r="W140" s="1156"/>
      <c r="X140" s="495"/>
      <c r="Y140" s="4127"/>
    </row>
    <row r="141" spans="1:26" ht="11.25" hidden="1" customHeight="1">
      <c r="A141" s="4117"/>
      <c r="B141" s="549" t="s">
        <v>27</v>
      </c>
      <c r="C141" s="4136"/>
      <c r="D141" s="473">
        <f>+E141+I141+J141+K141+L141+N141+O141</f>
        <v>0</v>
      </c>
      <c r="E141" s="474">
        <f>+F141+G141+H141</f>
        <v>0</v>
      </c>
      <c r="F141" s="474">
        <v>0</v>
      </c>
      <c r="G141" s="474">
        <v>0</v>
      </c>
      <c r="H141" s="474">
        <v>0</v>
      </c>
      <c r="I141" s="474">
        <v>0</v>
      </c>
      <c r="J141" s="474"/>
      <c r="K141" s="474">
        <v>0</v>
      </c>
      <c r="L141" s="474">
        <v>0</v>
      </c>
      <c r="M141" s="474"/>
      <c r="N141" s="474">
        <v>0</v>
      </c>
      <c r="O141" s="474">
        <v>0</v>
      </c>
      <c r="P141" s="474">
        <v>0</v>
      </c>
      <c r="Q141" s="474"/>
      <c r="R141" s="474"/>
      <c r="S141" s="557"/>
      <c r="T141" s="557"/>
      <c r="U141" s="557"/>
      <c r="V141" s="557"/>
      <c r="W141" s="557"/>
      <c r="X141" s="552"/>
      <c r="Y141" s="4127"/>
    </row>
    <row r="142" spans="1:26" s="1232" customFormat="1" ht="12.75" hidden="1" customHeight="1">
      <c r="A142" s="4117"/>
      <c r="B142" s="525" t="s">
        <v>30</v>
      </c>
      <c r="C142" s="4136"/>
      <c r="D142" s="518">
        <f>+D143</f>
        <v>0</v>
      </c>
      <c r="E142" s="518">
        <f t="shared" ref="E142:P142" si="178">+E143</f>
        <v>0</v>
      </c>
      <c r="F142" s="518">
        <f t="shared" si="178"/>
        <v>0</v>
      </c>
      <c r="G142" s="518">
        <f t="shared" si="178"/>
        <v>0</v>
      </c>
      <c r="H142" s="518">
        <f t="shared" si="178"/>
        <v>0</v>
      </c>
      <c r="I142" s="543">
        <f t="shared" si="178"/>
        <v>0</v>
      </c>
      <c r="J142" s="543">
        <f t="shared" si="178"/>
        <v>0</v>
      </c>
      <c r="K142" s="518">
        <f t="shared" si="178"/>
        <v>0</v>
      </c>
      <c r="L142" s="518">
        <f t="shared" si="178"/>
        <v>0</v>
      </c>
      <c r="M142" s="518"/>
      <c r="N142" s="518">
        <f t="shared" si="178"/>
        <v>0</v>
      </c>
      <c r="O142" s="518">
        <f t="shared" si="178"/>
        <v>0</v>
      </c>
      <c r="P142" s="518">
        <f t="shared" si="178"/>
        <v>0</v>
      </c>
      <c r="Q142" s="518"/>
      <c r="R142" s="518"/>
      <c r="S142" s="621"/>
      <c r="T142" s="621"/>
      <c r="U142" s="621"/>
      <c r="V142" s="621"/>
      <c r="W142" s="621"/>
      <c r="X142" s="527"/>
      <c r="Y142" s="4127"/>
    </row>
    <row r="143" spans="1:26" s="1230" customFormat="1" ht="13.5" hidden="1" thickBot="1">
      <c r="A143" s="4118"/>
      <c r="B143" s="519" t="s">
        <v>33</v>
      </c>
      <c r="C143" s="4137"/>
      <c r="D143" s="540">
        <f>+E143+I143+J143+K143+L143</f>
        <v>0</v>
      </c>
      <c r="E143" s="498">
        <f>+F143+G143+H143</f>
        <v>0</v>
      </c>
      <c r="F143" s="562">
        <v>0</v>
      </c>
      <c r="G143" s="563">
        <v>0</v>
      </c>
      <c r="H143" s="564">
        <v>0</v>
      </c>
      <c r="I143" s="563"/>
      <c r="J143" s="563"/>
      <c r="K143" s="563"/>
      <c r="L143" s="563">
        <v>0</v>
      </c>
      <c r="M143" s="563"/>
      <c r="N143" s="563">
        <v>0</v>
      </c>
      <c r="O143" s="563">
        <v>0</v>
      </c>
      <c r="P143" s="522">
        <v>0</v>
      </c>
      <c r="Q143" s="522"/>
      <c r="R143" s="522"/>
      <c r="S143" s="522"/>
      <c r="T143" s="522"/>
      <c r="U143" s="522"/>
      <c r="V143" s="522"/>
      <c r="W143" s="522"/>
      <c r="X143" s="569"/>
      <c r="Y143" s="4128"/>
    </row>
    <row r="144" spans="1:26" ht="26.25" customHeight="1">
      <c r="A144" s="4091" t="s">
        <v>83</v>
      </c>
      <c r="B144" s="1422" t="s">
        <v>455</v>
      </c>
      <c r="C144" s="441" t="s">
        <v>98</v>
      </c>
      <c r="D144" s="481"/>
      <c r="E144" s="570"/>
      <c r="F144" s="481"/>
      <c r="G144" s="570"/>
      <c r="H144" s="570"/>
      <c r="I144" s="576"/>
      <c r="J144" s="576"/>
      <c r="K144" s="576"/>
      <c r="L144" s="576"/>
      <c r="M144" s="555"/>
      <c r="N144" s="555"/>
      <c r="O144" s="555"/>
      <c r="P144" s="555"/>
      <c r="Q144" s="555"/>
      <c r="R144" s="555"/>
      <c r="S144" s="1157"/>
      <c r="T144" s="1157"/>
      <c r="U144" s="1157"/>
      <c r="V144" s="1157"/>
      <c r="W144" s="1157"/>
      <c r="X144" s="556"/>
      <c r="Y144" s="542"/>
    </row>
    <row r="145" spans="1:26" ht="13.5" customHeight="1">
      <c r="A145" s="4071"/>
      <c r="B145" s="406" t="s">
        <v>22</v>
      </c>
      <c r="C145" s="382"/>
      <c r="D145" s="485">
        <f>+D146+D149</f>
        <v>21403332</v>
      </c>
      <c r="E145" s="485">
        <f t="shared" ref="E145:O145" si="179">+E146+E149</f>
        <v>41480</v>
      </c>
      <c r="F145" s="485">
        <f t="shared" si="179"/>
        <v>0</v>
      </c>
      <c r="G145" s="485">
        <f t="shared" si="179"/>
        <v>0</v>
      </c>
      <c r="H145" s="485">
        <f t="shared" si="179"/>
        <v>7838</v>
      </c>
      <c r="I145" s="485">
        <f t="shared" si="179"/>
        <v>201799</v>
      </c>
      <c r="J145" s="485">
        <f t="shared" si="179"/>
        <v>5853415</v>
      </c>
      <c r="K145" s="485">
        <f t="shared" si="179"/>
        <v>15106381</v>
      </c>
      <c r="L145" s="485">
        <f t="shared" si="179"/>
        <v>257</v>
      </c>
      <c r="M145" s="485">
        <f t="shared" ref="M145" si="180">+M146+M149</f>
        <v>21203332</v>
      </c>
      <c r="N145" s="485">
        <f t="shared" si="179"/>
        <v>0</v>
      </c>
      <c r="O145" s="485">
        <f t="shared" si="179"/>
        <v>0</v>
      </c>
      <c r="P145" s="485">
        <f>+P146+P149</f>
        <v>200000</v>
      </c>
      <c r="Q145" s="485"/>
      <c r="R145" s="485"/>
      <c r="S145" s="485"/>
      <c r="T145" s="485"/>
      <c r="U145" s="485"/>
      <c r="V145" s="485"/>
      <c r="W145" s="485"/>
      <c r="X145" s="487">
        <f>+X146+X149</f>
        <v>200000</v>
      </c>
      <c r="Y145" s="3901" t="s">
        <v>104</v>
      </c>
      <c r="Z145" s="1056"/>
    </row>
    <row r="146" spans="1:26" ht="13.5" customHeight="1">
      <c r="A146" s="4071"/>
      <c r="B146" s="533" t="s">
        <v>36</v>
      </c>
      <c r="C146" s="4129" t="s">
        <v>101</v>
      </c>
      <c r="D146" s="577">
        <f>+D147+D148</f>
        <v>8942798</v>
      </c>
      <c r="E146" s="577">
        <f t="shared" ref="E146:P146" si="181">+E147+E148</f>
        <v>0</v>
      </c>
      <c r="F146" s="577">
        <f t="shared" si="181"/>
        <v>0</v>
      </c>
      <c r="G146" s="577">
        <f t="shared" si="181"/>
        <v>0</v>
      </c>
      <c r="H146" s="577">
        <f t="shared" si="181"/>
        <v>0</v>
      </c>
      <c r="I146" s="577">
        <f t="shared" si="181"/>
        <v>0</v>
      </c>
      <c r="J146" s="577">
        <f t="shared" si="181"/>
        <v>2000000</v>
      </c>
      <c r="K146" s="577">
        <f t="shared" si="181"/>
        <v>6742541</v>
      </c>
      <c r="L146" s="577">
        <f t="shared" si="181"/>
        <v>257</v>
      </c>
      <c r="M146" s="577">
        <f t="shared" ref="M146" si="182">+M147+M148</f>
        <v>8742798</v>
      </c>
      <c r="N146" s="577">
        <f t="shared" si="181"/>
        <v>0</v>
      </c>
      <c r="O146" s="577">
        <f t="shared" si="181"/>
        <v>0</v>
      </c>
      <c r="P146" s="577">
        <f t="shared" si="181"/>
        <v>200000</v>
      </c>
      <c r="Q146" s="577"/>
      <c r="R146" s="577"/>
      <c r="S146" s="577"/>
      <c r="T146" s="577"/>
      <c r="U146" s="577"/>
      <c r="V146" s="577"/>
      <c r="W146" s="577"/>
      <c r="X146" s="509">
        <f>+P146+Q146+R146+S146</f>
        <v>200000</v>
      </c>
      <c r="Y146" s="3901"/>
      <c r="Z146" s="1056"/>
    </row>
    <row r="147" spans="1:26" ht="11.25" customHeight="1">
      <c r="A147" s="4071"/>
      <c r="B147" s="510" t="s">
        <v>24</v>
      </c>
      <c r="C147" s="4136"/>
      <c r="D147" s="456">
        <f t="shared" ref="D147:D148" si="183">M147+O147+P147+Q147+R147+S147+T147+U147+V147+W147</f>
        <v>1452934</v>
      </c>
      <c r="E147" s="463">
        <v>0</v>
      </c>
      <c r="F147" s="464">
        <v>0</v>
      </c>
      <c r="G147" s="463">
        <v>0</v>
      </c>
      <c r="H147" s="501">
        <v>0</v>
      </c>
      <c r="I147" s="501"/>
      <c r="J147" s="501">
        <v>0</v>
      </c>
      <c r="K147" s="501">
        <f>3145326+93584-1989864+3268+363</f>
        <v>1252677</v>
      </c>
      <c r="L147" s="501">
        <f>300000-100000-150000-49743</f>
        <v>257</v>
      </c>
      <c r="M147" s="457">
        <f>+E147+I147+J147+K147+L147+N147</f>
        <v>1252934</v>
      </c>
      <c r="N147" s="537">
        <f>200000+150000-150000-200000</f>
        <v>0</v>
      </c>
      <c r="O147" s="464">
        <f>200000-200000</f>
        <v>0</v>
      </c>
      <c r="P147" s="464">
        <v>200000</v>
      </c>
      <c r="Q147" s="464"/>
      <c r="R147" s="464"/>
      <c r="S147" s="464"/>
      <c r="T147" s="464"/>
      <c r="U147" s="464"/>
      <c r="V147" s="464"/>
      <c r="W147" s="464"/>
      <c r="X147" s="416">
        <f>SUM(P147:T147)</f>
        <v>200000</v>
      </c>
      <c r="Y147" s="3901"/>
    </row>
    <row r="148" spans="1:26">
      <c r="A148" s="4071"/>
      <c r="B148" s="549" t="s">
        <v>27</v>
      </c>
      <c r="C148" s="4136"/>
      <c r="D148" s="456">
        <f t="shared" si="183"/>
        <v>7489864</v>
      </c>
      <c r="E148" s="463">
        <v>0</v>
      </c>
      <c r="F148" s="464"/>
      <c r="G148" s="463"/>
      <c r="H148" s="501"/>
      <c r="I148" s="501">
        <v>0</v>
      </c>
      <c r="J148" s="501">
        <v>2000000</v>
      </c>
      <c r="K148" s="463">
        <f>3500000+1989864</f>
        <v>5489864</v>
      </c>
      <c r="L148" s="463">
        <v>0</v>
      </c>
      <c r="M148" s="457">
        <f>+E148+I148+J148+K148+L148+N148</f>
        <v>7489864</v>
      </c>
      <c r="N148" s="464">
        <v>0</v>
      </c>
      <c r="O148" s="464">
        <v>0</v>
      </c>
      <c r="P148" s="464">
        <v>0</v>
      </c>
      <c r="Q148" s="464"/>
      <c r="R148" s="464"/>
      <c r="S148" s="464"/>
      <c r="T148" s="464"/>
      <c r="U148" s="464"/>
      <c r="V148" s="464"/>
      <c r="W148" s="464"/>
      <c r="X148" s="416">
        <f>SUM(P148:T148)</f>
        <v>0</v>
      </c>
      <c r="Y148" s="3901"/>
    </row>
    <row r="149" spans="1:26" ht="13.5" customHeight="1">
      <c r="A149" s="4071"/>
      <c r="B149" s="525" t="s">
        <v>30</v>
      </c>
      <c r="C149" s="4136"/>
      <c r="D149" s="466">
        <f>+D150</f>
        <v>12460534</v>
      </c>
      <c r="E149" s="467">
        <f t="shared" ref="E149:K149" si="184">+E150</f>
        <v>41480</v>
      </c>
      <c r="F149" s="466">
        <f t="shared" si="184"/>
        <v>0</v>
      </c>
      <c r="G149" s="467">
        <f t="shared" si="184"/>
        <v>0</v>
      </c>
      <c r="H149" s="467">
        <f t="shared" si="184"/>
        <v>7838</v>
      </c>
      <c r="I149" s="467">
        <f t="shared" si="184"/>
        <v>201799</v>
      </c>
      <c r="J149" s="467">
        <f t="shared" si="184"/>
        <v>3853415</v>
      </c>
      <c r="K149" s="467">
        <f t="shared" si="184"/>
        <v>8363840</v>
      </c>
      <c r="L149" s="467">
        <f>+L150</f>
        <v>0</v>
      </c>
      <c r="M149" s="467">
        <f>+M150</f>
        <v>12460534</v>
      </c>
      <c r="N149" s="467">
        <f>+N150</f>
        <v>0</v>
      </c>
      <c r="O149" s="467">
        <f>+O150</f>
        <v>0</v>
      </c>
      <c r="P149" s="467">
        <f>+P150</f>
        <v>0</v>
      </c>
      <c r="Q149" s="467"/>
      <c r="R149" s="467"/>
      <c r="S149" s="466"/>
      <c r="T149" s="466"/>
      <c r="U149" s="466"/>
      <c r="V149" s="466"/>
      <c r="W149" s="466"/>
      <c r="X149" s="509">
        <f>+X150</f>
        <v>0</v>
      </c>
      <c r="Y149" s="3901"/>
    </row>
    <row r="150" spans="1:26" ht="11.25" customHeight="1">
      <c r="A150" s="4071"/>
      <c r="B150" s="510" t="s">
        <v>33</v>
      </c>
      <c r="C150" s="4159"/>
      <c r="D150" s="1648">
        <f t="shared" ref="D150" si="185">M150+O150+P150+Q150+R150+S150+T150+U150+V150+W150</f>
        <v>12460534</v>
      </c>
      <c r="E150" s="463">
        <f>6538+34942</f>
        <v>41480</v>
      </c>
      <c r="F150" s="464">
        <v>0</v>
      </c>
      <c r="G150" s="463">
        <v>0</v>
      </c>
      <c r="H150" s="501">
        <v>7838</v>
      </c>
      <c r="I150" s="501">
        <f>31810+169989</f>
        <v>201799</v>
      </c>
      <c r="J150" s="501">
        <v>3853415</v>
      </c>
      <c r="K150" s="463">
        <f>8461055-93584-3268-363</f>
        <v>8363840</v>
      </c>
      <c r="L150" s="463">
        <v>0</v>
      </c>
      <c r="M150" s="457">
        <f>+E150+I150+J150+K150+L150+N150</f>
        <v>12460534</v>
      </c>
      <c r="N150" s="464">
        <v>0</v>
      </c>
      <c r="O150" s="464">
        <v>0</v>
      </c>
      <c r="P150" s="464">
        <v>0</v>
      </c>
      <c r="Q150" s="464"/>
      <c r="R150" s="464"/>
      <c r="S150" s="464"/>
      <c r="T150" s="464"/>
      <c r="U150" s="464"/>
      <c r="V150" s="464"/>
      <c r="W150" s="464"/>
      <c r="X150" s="416">
        <f>SUM(P150:T150)</f>
        <v>0</v>
      </c>
      <c r="Y150" s="4073"/>
    </row>
    <row r="151" spans="1:26" s="1066" customFormat="1" ht="13.5" customHeight="1">
      <c r="A151" s="4117"/>
      <c r="B151" s="524" t="s">
        <v>34</v>
      </c>
      <c r="C151" s="545"/>
      <c r="D151" s="578">
        <f>+D152+D154</f>
        <v>19950398</v>
      </c>
      <c r="E151" s="578">
        <f t="shared" ref="E151:P151" si="186">+E152+E154</f>
        <v>0</v>
      </c>
      <c r="F151" s="578">
        <f t="shared" si="186"/>
        <v>0</v>
      </c>
      <c r="G151" s="578">
        <f t="shared" si="186"/>
        <v>0</v>
      </c>
      <c r="H151" s="578">
        <f t="shared" si="186"/>
        <v>0</v>
      </c>
      <c r="I151" s="578">
        <f t="shared" si="186"/>
        <v>0</v>
      </c>
      <c r="J151" s="578">
        <f t="shared" si="186"/>
        <v>2000000</v>
      </c>
      <c r="K151" s="578">
        <f t="shared" si="186"/>
        <v>15067686</v>
      </c>
      <c r="L151" s="578">
        <f t="shared" si="186"/>
        <v>2882712</v>
      </c>
      <c r="M151" s="578">
        <f t="shared" ref="M151" si="187">+M152+M154</f>
        <v>19950398</v>
      </c>
      <c r="N151" s="578">
        <f t="shared" si="186"/>
        <v>0</v>
      </c>
      <c r="O151" s="578">
        <f t="shared" si="186"/>
        <v>0</v>
      </c>
      <c r="P151" s="578">
        <f t="shared" si="186"/>
        <v>0</v>
      </c>
      <c r="Q151" s="578"/>
      <c r="R151" s="578"/>
      <c r="S151" s="578"/>
      <c r="T151" s="578"/>
      <c r="U151" s="578"/>
      <c r="V151" s="578"/>
      <c r="W151" s="578"/>
      <c r="X151" s="4021" t="s">
        <v>35</v>
      </c>
      <c r="Y151" s="4149" t="s">
        <v>123</v>
      </c>
    </row>
    <row r="152" spans="1:26" ht="13.5" customHeight="1">
      <c r="A152" s="4117"/>
      <c r="B152" s="452" t="s">
        <v>36</v>
      </c>
      <c r="C152" s="4129" t="s">
        <v>102</v>
      </c>
      <c r="D152" s="472">
        <f>+D153</f>
        <v>7489864</v>
      </c>
      <c r="E152" s="472">
        <f t="shared" ref="E152:P152" si="188">+E153</f>
        <v>0</v>
      </c>
      <c r="F152" s="472">
        <f t="shared" si="188"/>
        <v>0</v>
      </c>
      <c r="G152" s="472">
        <f t="shared" si="188"/>
        <v>0</v>
      </c>
      <c r="H152" s="472">
        <f t="shared" si="188"/>
        <v>0</v>
      </c>
      <c r="I152" s="472">
        <f t="shared" si="188"/>
        <v>0</v>
      </c>
      <c r="J152" s="472">
        <f t="shared" si="188"/>
        <v>2000000</v>
      </c>
      <c r="K152" s="472">
        <f t="shared" si="188"/>
        <v>3500000</v>
      </c>
      <c r="L152" s="472">
        <f t="shared" si="188"/>
        <v>1989864</v>
      </c>
      <c r="M152" s="472">
        <f t="shared" si="188"/>
        <v>7489864</v>
      </c>
      <c r="N152" s="472">
        <f t="shared" si="188"/>
        <v>0</v>
      </c>
      <c r="O152" s="472">
        <f t="shared" si="188"/>
        <v>0</v>
      </c>
      <c r="P152" s="472">
        <f t="shared" si="188"/>
        <v>0</v>
      </c>
      <c r="Q152" s="472"/>
      <c r="R152" s="472"/>
      <c r="S152" s="472"/>
      <c r="T152" s="472"/>
      <c r="U152" s="472"/>
      <c r="V152" s="472"/>
      <c r="W152" s="472"/>
      <c r="X152" s="4022"/>
      <c r="Y152" s="4124"/>
    </row>
    <row r="153" spans="1:26" ht="13.5" customHeight="1">
      <c r="A153" s="4117"/>
      <c r="B153" s="549" t="s">
        <v>27</v>
      </c>
      <c r="C153" s="4136"/>
      <c r="D153" s="456">
        <f t="shared" ref="D153" si="189">M153+O153+P153+Q153+R153+S153+T153+U153+V153+W153</f>
        <v>7489864</v>
      </c>
      <c r="E153" s="474">
        <f>+F153+G153+H153</f>
        <v>0</v>
      </c>
      <c r="F153" s="474">
        <v>0</v>
      </c>
      <c r="G153" s="474">
        <v>0</v>
      </c>
      <c r="H153" s="474">
        <v>0</v>
      </c>
      <c r="I153" s="474">
        <v>0</v>
      </c>
      <c r="J153" s="474">
        <v>2000000</v>
      </c>
      <c r="K153" s="474">
        <v>3500000</v>
      </c>
      <c r="L153" s="474">
        <f>800000+1189864</f>
        <v>1989864</v>
      </c>
      <c r="M153" s="457">
        <f>+E153+I153+J153+K153+L153+N153</f>
        <v>7489864</v>
      </c>
      <c r="N153" s="474">
        <v>0</v>
      </c>
      <c r="O153" s="474">
        <v>0</v>
      </c>
      <c r="P153" s="474">
        <v>0</v>
      </c>
      <c r="Q153" s="474"/>
      <c r="R153" s="474"/>
      <c r="S153" s="474"/>
      <c r="T153" s="474"/>
      <c r="U153" s="474"/>
      <c r="V153" s="474"/>
      <c r="W153" s="474"/>
      <c r="X153" s="4022"/>
      <c r="Y153" s="4124"/>
    </row>
    <row r="154" spans="1:26" s="1232" customFormat="1" ht="12.75" customHeight="1">
      <c r="A154" s="4117"/>
      <c r="B154" s="525" t="s">
        <v>30</v>
      </c>
      <c r="C154" s="4136"/>
      <c r="D154" s="518">
        <f t="shared" ref="D154:P154" si="190">+D155</f>
        <v>12460534</v>
      </c>
      <c r="E154" s="526">
        <f t="shared" si="190"/>
        <v>0</v>
      </c>
      <c r="F154" s="526">
        <f t="shared" si="190"/>
        <v>0</v>
      </c>
      <c r="G154" s="526">
        <f t="shared" si="190"/>
        <v>0</v>
      </c>
      <c r="H154" s="526">
        <f t="shared" si="190"/>
        <v>0</v>
      </c>
      <c r="I154" s="526">
        <f t="shared" si="190"/>
        <v>0</v>
      </c>
      <c r="J154" s="526">
        <f t="shared" si="190"/>
        <v>0</v>
      </c>
      <c r="K154" s="526">
        <f t="shared" si="190"/>
        <v>11567686</v>
      </c>
      <c r="L154" s="526">
        <f t="shared" si="190"/>
        <v>892848</v>
      </c>
      <c r="M154" s="526">
        <f t="shared" si="190"/>
        <v>12460534</v>
      </c>
      <c r="N154" s="526">
        <f t="shared" si="190"/>
        <v>0</v>
      </c>
      <c r="O154" s="526">
        <f t="shared" si="190"/>
        <v>0</v>
      </c>
      <c r="P154" s="526">
        <f t="shared" si="190"/>
        <v>0</v>
      </c>
      <c r="Q154" s="526"/>
      <c r="R154" s="526"/>
      <c r="S154" s="526"/>
      <c r="T154" s="526"/>
      <c r="U154" s="526"/>
      <c r="V154" s="526"/>
      <c r="W154" s="526"/>
      <c r="X154" s="4022"/>
      <c r="Y154" s="4124"/>
    </row>
    <row r="155" spans="1:26" s="1230" customFormat="1" ht="12.75" customHeight="1" thickBot="1">
      <c r="A155" s="4118"/>
      <c r="B155" s="519" t="s">
        <v>33</v>
      </c>
      <c r="C155" s="4137"/>
      <c r="D155" s="456">
        <f t="shared" ref="D155" si="191">M155+O155+P155+Q155+R155+S155+T155+U155+V155+W155</f>
        <v>12460534</v>
      </c>
      <c r="E155" s="498">
        <f>+F155+G155+H155</f>
        <v>0</v>
      </c>
      <c r="F155" s="562">
        <v>0</v>
      </c>
      <c r="G155" s="563">
        <v>0</v>
      </c>
      <c r="H155" s="564">
        <v>0</v>
      </c>
      <c r="I155" s="564">
        <v>0</v>
      </c>
      <c r="J155" s="564">
        <f>1283619-1283619</f>
        <v>0</v>
      </c>
      <c r="K155" s="564">
        <v>11567686</v>
      </c>
      <c r="L155" s="564">
        <f>990063-93584-3268-363</f>
        <v>892848</v>
      </c>
      <c r="M155" s="457">
        <f>+E155+I155+J155+K155+L155+N155</f>
        <v>12460534</v>
      </c>
      <c r="N155" s="522">
        <v>0</v>
      </c>
      <c r="O155" s="522">
        <v>0</v>
      </c>
      <c r="P155" s="522">
        <v>0</v>
      </c>
      <c r="Q155" s="522"/>
      <c r="R155" s="522"/>
      <c r="S155" s="522"/>
      <c r="T155" s="522"/>
      <c r="U155" s="522"/>
      <c r="V155" s="522"/>
      <c r="W155" s="522"/>
      <c r="X155" s="4023"/>
      <c r="Y155" s="4125"/>
    </row>
    <row r="156" spans="1:26" ht="27" customHeight="1">
      <c r="A156" s="4091" t="s">
        <v>140</v>
      </c>
      <c r="B156" s="2851" t="s">
        <v>573</v>
      </c>
      <c r="C156" s="441" t="s">
        <v>98</v>
      </c>
      <c r="D156" s="579"/>
      <c r="E156" s="553"/>
      <c r="F156" s="554"/>
      <c r="G156" s="553"/>
      <c r="H156" s="553"/>
      <c r="I156" s="553"/>
      <c r="J156" s="553"/>
      <c r="K156" s="553"/>
      <c r="L156" s="553"/>
      <c r="M156" s="555"/>
      <c r="N156" s="555"/>
      <c r="O156" s="555"/>
      <c r="P156" s="555"/>
      <c r="Q156" s="555"/>
      <c r="R156" s="555"/>
      <c r="S156" s="555"/>
      <c r="T156" s="555"/>
      <c r="U156" s="555"/>
      <c r="V156" s="555"/>
      <c r="W156" s="555"/>
      <c r="X156" s="446"/>
      <c r="Y156" s="542"/>
      <c r="Z156" s="1056"/>
    </row>
    <row r="157" spans="1:26" ht="13.5" customHeight="1">
      <c r="A157" s="4071"/>
      <c r="B157" s="2852" t="s">
        <v>22</v>
      </c>
      <c r="C157" s="382"/>
      <c r="D157" s="1952">
        <f>+D158+D160</f>
        <v>28034558</v>
      </c>
      <c r="E157" s="485">
        <f t="shared" ref="E157:O157" si="192">+E158+E160</f>
        <v>17047</v>
      </c>
      <c r="F157" s="485">
        <f t="shared" si="192"/>
        <v>0</v>
      </c>
      <c r="G157" s="485">
        <f t="shared" si="192"/>
        <v>17047</v>
      </c>
      <c r="H157" s="485">
        <f t="shared" si="192"/>
        <v>0</v>
      </c>
      <c r="I157" s="485">
        <f t="shared" si="192"/>
        <v>365000</v>
      </c>
      <c r="J157" s="485">
        <f t="shared" si="192"/>
        <v>262261</v>
      </c>
      <c r="K157" s="485">
        <f t="shared" si="192"/>
        <v>7988162</v>
      </c>
      <c r="L157" s="485">
        <f t="shared" si="192"/>
        <v>11833174</v>
      </c>
      <c r="M157" s="485">
        <f t="shared" ref="M157" si="193">+M158+M160</f>
        <v>27933609</v>
      </c>
      <c r="N157" s="485">
        <f t="shared" si="192"/>
        <v>7467965</v>
      </c>
      <c r="O157" s="1952">
        <f t="shared" si="192"/>
        <v>32489</v>
      </c>
      <c r="P157" s="1952">
        <f>+P158+P160</f>
        <v>68460</v>
      </c>
      <c r="Q157" s="485"/>
      <c r="R157" s="485"/>
      <c r="S157" s="485"/>
      <c r="T157" s="485"/>
      <c r="U157" s="485"/>
      <c r="V157" s="485"/>
      <c r="W157" s="485"/>
      <c r="X157" s="487">
        <f>+X158+X160</f>
        <v>68460</v>
      </c>
      <c r="Y157" s="3901" t="s">
        <v>104</v>
      </c>
      <c r="Z157" s="1056"/>
    </row>
    <row r="158" spans="1:26" ht="13.5" customHeight="1">
      <c r="A158" s="4071"/>
      <c r="B158" s="2853" t="s">
        <v>36</v>
      </c>
      <c r="C158" s="4129" t="s">
        <v>101</v>
      </c>
      <c r="D158" s="1955">
        <f>+D159</f>
        <v>1895087</v>
      </c>
      <c r="E158" s="488">
        <f t="shared" ref="E158:P158" si="194">+E159</f>
        <v>0</v>
      </c>
      <c r="F158" s="488">
        <f t="shared" si="194"/>
        <v>0</v>
      </c>
      <c r="G158" s="488">
        <f t="shared" si="194"/>
        <v>16536</v>
      </c>
      <c r="H158" s="488">
        <f t="shared" si="194"/>
        <v>0</v>
      </c>
      <c r="I158" s="488">
        <f t="shared" si="194"/>
        <v>0</v>
      </c>
      <c r="J158" s="488">
        <f t="shared" si="194"/>
        <v>58161</v>
      </c>
      <c r="K158" s="488">
        <f t="shared" si="194"/>
        <v>21209</v>
      </c>
      <c r="L158" s="488">
        <f t="shared" si="194"/>
        <v>1092705</v>
      </c>
      <c r="M158" s="488">
        <f t="shared" si="194"/>
        <v>1794138</v>
      </c>
      <c r="N158" s="488">
        <f t="shared" si="194"/>
        <v>622063</v>
      </c>
      <c r="O158" s="1955">
        <f t="shared" si="194"/>
        <v>32489</v>
      </c>
      <c r="P158" s="1955">
        <f t="shared" si="194"/>
        <v>68460</v>
      </c>
      <c r="Q158" s="488"/>
      <c r="R158" s="488"/>
      <c r="S158" s="488"/>
      <c r="T158" s="488"/>
      <c r="U158" s="488"/>
      <c r="V158" s="488"/>
      <c r="W158" s="488"/>
      <c r="X158" s="489">
        <f>+X159</f>
        <v>68460</v>
      </c>
      <c r="Y158" s="3901"/>
    </row>
    <row r="159" spans="1:26" ht="12.75" customHeight="1">
      <c r="A159" s="4071"/>
      <c r="B159" s="2805" t="s">
        <v>24</v>
      </c>
      <c r="C159" s="4130"/>
      <c r="D159" s="1958">
        <f t="shared" ref="D159" si="195">M159+O159+P159+Q159+R159+S159+T159+U159+V159+W159</f>
        <v>1895087</v>
      </c>
      <c r="E159" s="463">
        <v>0</v>
      </c>
      <c r="F159" s="464">
        <v>0</v>
      </c>
      <c r="G159" s="501">
        <v>16536</v>
      </c>
      <c r="H159" s="501">
        <v>0</v>
      </c>
      <c r="I159" s="501">
        <v>0</v>
      </c>
      <c r="J159" s="501">
        <v>58161</v>
      </c>
      <c r="K159" s="501">
        <f>197+21012</f>
        <v>21209</v>
      </c>
      <c r="L159" s="501">
        <f>3399803+400000+834804+1189864-4317794-460271+32960+13339</f>
        <v>1092705</v>
      </c>
      <c r="M159" s="457">
        <f>+E159+I159+J159+K159+L159+N159</f>
        <v>1794138</v>
      </c>
      <c r="N159" s="501">
        <f>1123290+2958425-139639-2739729-332960-144487-102897+60</f>
        <v>622063</v>
      </c>
      <c r="O159" s="1371">
        <f>125000-42451-24500-25560</f>
        <v>32489</v>
      </c>
      <c r="P159" s="2828">
        <f>24500+43960</f>
        <v>68460</v>
      </c>
      <c r="Q159" s="464"/>
      <c r="R159" s="464"/>
      <c r="S159" s="464"/>
      <c r="T159" s="464"/>
      <c r="U159" s="464"/>
      <c r="V159" s="464"/>
      <c r="W159" s="464"/>
      <c r="X159" s="416">
        <f>SUM(P159:T159)</f>
        <v>68460</v>
      </c>
      <c r="Y159" s="3901"/>
    </row>
    <row r="160" spans="1:26" ht="12.75" customHeight="1">
      <c r="A160" s="4071"/>
      <c r="B160" s="511" t="s">
        <v>30</v>
      </c>
      <c r="C160" s="4130"/>
      <c r="D160" s="466">
        <f>+D161</f>
        <v>26139471</v>
      </c>
      <c r="E160" s="466">
        <f t="shared" ref="E160:P160" si="196">+E161</f>
        <v>17047</v>
      </c>
      <c r="F160" s="466">
        <f t="shared" si="196"/>
        <v>0</v>
      </c>
      <c r="G160" s="466">
        <f t="shared" si="196"/>
        <v>511</v>
      </c>
      <c r="H160" s="466">
        <f t="shared" si="196"/>
        <v>0</v>
      </c>
      <c r="I160" s="466">
        <f t="shared" si="196"/>
        <v>365000</v>
      </c>
      <c r="J160" s="466">
        <f t="shared" si="196"/>
        <v>204100</v>
      </c>
      <c r="K160" s="466">
        <f t="shared" si="196"/>
        <v>7966953</v>
      </c>
      <c r="L160" s="466">
        <f t="shared" si="196"/>
        <v>10740469</v>
      </c>
      <c r="M160" s="466">
        <f t="shared" si="196"/>
        <v>26139471</v>
      </c>
      <c r="N160" s="466">
        <f t="shared" si="196"/>
        <v>6845902</v>
      </c>
      <c r="O160" s="466">
        <f t="shared" si="196"/>
        <v>0</v>
      </c>
      <c r="P160" s="466">
        <f t="shared" si="196"/>
        <v>0</v>
      </c>
      <c r="Q160" s="466"/>
      <c r="R160" s="466"/>
      <c r="S160" s="466"/>
      <c r="T160" s="466"/>
      <c r="U160" s="466"/>
      <c r="V160" s="466"/>
      <c r="W160" s="466"/>
      <c r="X160" s="489">
        <f>+X161</f>
        <v>0</v>
      </c>
      <c r="Y160" s="3901"/>
    </row>
    <row r="161" spans="1:29" ht="12" customHeight="1">
      <c r="A161" s="4071"/>
      <c r="B161" s="510" t="s">
        <v>33</v>
      </c>
      <c r="C161" s="4161"/>
      <c r="D161" s="456">
        <f t="shared" ref="D161" si="197">M161+O161+P161+Q161+R161+S161+T161+U161+V161+W161</f>
        <v>26139471</v>
      </c>
      <c r="E161" s="463">
        <f>+F161+G161+H161+16536</f>
        <v>17047</v>
      </c>
      <c r="F161" s="464">
        <v>0</v>
      </c>
      <c r="G161" s="501">
        <v>511</v>
      </c>
      <c r="H161" s="501">
        <v>0</v>
      </c>
      <c r="I161" s="501">
        <f>10950+354050</f>
        <v>365000</v>
      </c>
      <c r="J161" s="501">
        <f>262261-58161</f>
        <v>204100</v>
      </c>
      <c r="K161" s="501">
        <f>7987965-21012</f>
        <v>7966953</v>
      </c>
      <c r="L161" s="463">
        <f>11767727+1000000-2178767-95637+293445-32960-13339</f>
        <v>10740469</v>
      </c>
      <c r="M161" s="457">
        <f>+E161+I161+J161+K161+L161+N161</f>
        <v>26139471</v>
      </c>
      <c r="N161" s="463">
        <f>5500000+1511039+235276-293445+32960-122228-17640-60</f>
        <v>6845902</v>
      </c>
      <c r="O161" s="463">
        <v>0</v>
      </c>
      <c r="P161" s="464">
        <v>0</v>
      </c>
      <c r="Q161" s="464"/>
      <c r="R161" s="464"/>
      <c r="S161" s="464"/>
      <c r="T161" s="464"/>
      <c r="U161" s="464"/>
      <c r="V161" s="464"/>
      <c r="W161" s="464"/>
      <c r="X161" s="416">
        <f>SUM(P161:T161)</f>
        <v>0</v>
      </c>
      <c r="Y161" s="4073"/>
    </row>
    <row r="162" spans="1:29" s="1230" customFormat="1" ht="12.75" customHeight="1">
      <c r="A162" s="4117"/>
      <c r="B162" s="512" t="s">
        <v>34</v>
      </c>
      <c r="C162" s="382"/>
      <c r="D162" s="471">
        <f>+D165+D163</f>
        <v>26980952</v>
      </c>
      <c r="E162" s="471">
        <f t="shared" ref="E162:P162" si="198">+E165+E163</f>
        <v>0</v>
      </c>
      <c r="F162" s="471">
        <f t="shared" si="198"/>
        <v>0</v>
      </c>
      <c r="G162" s="471">
        <f t="shared" si="198"/>
        <v>0</v>
      </c>
      <c r="H162" s="471">
        <f t="shared" si="198"/>
        <v>0</v>
      </c>
      <c r="I162" s="471">
        <f t="shared" si="198"/>
        <v>0</v>
      </c>
      <c r="J162" s="471">
        <f t="shared" si="198"/>
        <v>0</v>
      </c>
      <c r="K162" s="471">
        <f t="shared" si="198"/>
        <v>0</v>
      </c>
      <c r="L162" s="471">
        <f t="shared" si="198"/>
        <v>18716756</v>
      </c>
      <c r="M162" s="471">
        <f t="shared" ref="M162" si="199">+M165+M163</f>
        <v>25892824</v>
      </c>
      <c r="N162" s="471">
        <f t="shared" si="198"/>
        <v>7176068</v>
      </c>
      <c r="O162" s="471">
        <f t="shared" si="198"/>
        <v>1088128</v>
      </c>
      <c r="P162" s="471">
        <f t="shared" si="198"/>
        <v>0</v>
      </c>
      <c r="Q162" s="471"/>
      <c r="R162" s="471"/>
      <c r="S162" s="471"/>
      <c r="T162" s="471"/>
      <c r="U162" s="471"/>
      <c r="V162" s="471"/>
      <c r="W162" s="471"/>
      <c r="X162" s="4021" t="s">
        <v>35</v>
      </c>
      <c r="Y162" s="4149" t="s">
        <v>123</v>
      </c>
    </row>
    <row r="163" spans="1:29" ht="13.5" customHeight="1">
      <c r="A163" s="4117"/>
      <c r="B163" s="507" t="s">
        <v>36</v>
      </c>
      <c r="C163" s="4162" t="s">
        <v>101</v>
      </c>
      <c r="D163" s="472">
        <f>+D164</f>
        <v>841481</v>
      </c>
      <c r="E163" s="472">
        <f t="shared" ref="E163:P163" si="200">+E164</f>
        <v>0</v>
      </c>
      <c r="F163" s="472">
        <f t="shared" si="200"/>
        <v>0</v>
      </c>
      <c r="G163" s="472">
        <f t="shared" si="200"/>
        <v>0</v>
      </c>
      <c r="H163" s="472">
        <f t="shared" si="200"/>
        <v>0</v>
      </c>
      <c r="I163" s="472">
        <f t="shared" si="200"/>
        <v>0</v>
      </c>
      <c r="J163" s="472">
        <f t="shared" si="200"/>
        <v>0</v>
      </c>
      <c r="K163" s="472">
        <f t="shared" si="200"/>
        <v>0</v>
      </c>
      <c r="L163" s="472">
        <f t="shared" si="200"/>
        <v>841481</v>
      </c>
      <c r="M163" s="472">
        <f t="shared" si="200"/>
        <v>841481</v>
      </c>
      <c r="N163" s="472">
        <f t="shared" si="200"/>
        <v>0</v>
      </c>
      <c r="O163" s="472">
        <f t="shared" si="200"/>
        <v>0</v>
      </c>
      <c r="P163" s="472">
        <f t="shared" si="200"/>
        <v>0</v>
      </c>
      <c r="Q163" s="472"/>
      <c r="R163" s="472"/>
      <c r="S163" s="472"/>
      <c r="T163" s="472"/>
      <c r="U163" s="472"/>
      <c r="V163" s="472"/>
      <c r="W163" s="472"/>
      <c r="X163" s="4022"/>
      <c r="Y163" s="4124"/>
    </row>
    <row r="164" spans="1:29" ht="13.5" customHeight="1">
      <c r="A164" s="4117"/>
      <c r="B164" s="549" t="s">
        <v>38</v>
      </c>
      <c r="C164" s="4163"/>
      <c r="D164" s="456">
        <f t="shared" ref="D164" si="201">M164+O164+P164+Q164+R164+S164+T164+U164+V164+W164</f>
        <v>841481</v>
      </c>
      <c r="E164" s="474">
        <f>+F164+G164+H164</f>
        <v>0</v>
      </c>
      <c r="F164" s="474">
        <v>0</v>
      </c>
      <c r="G164" s="474">
        <v>0</v>
      </c>
      <c r="H164" s="474">
        <v>0</v>
      </c>
      <c r="I164" s="474">
        <v>0</v>
      </c>
      <c r="J164" s="474"/>
      <c r="K164" s="474"/>
      <c r="L164" s="474">
        <f>834804+6677</f>
        <v>841481</v>
      </c>
      <c r="M164" s="457">
        <f>+E164+I164+J164+K164+L164+N164</f>
        <v>841481</v>
      </c>
      <c r="N164" s="474">
        <v>0</v>
      </c>
      <c r="O164" s="474">
        <v>0</v>
      </c>
      <c r="P164" s="474">
        <v>0</v>
      </c>
      <c r="Q164" s="474"/>
      <c r="R164" s="474"/>
      <c r="S164" s="474"/>
      <c r="T164" s="474"/>
      <c r="U164" s="474"/>
      <c r="V164" s="474"/>
      <c r="W164" s="474"/>
      <c r="X164" s="4022"/>
      <c r="Y164" s="4124"/>
    </row>
    <row r="165" spans="1:29" s="1232" customFormat="1" ht="12.75" customHeight="1">
      <c r="A165" s="4117"/>
      <c r="B165" s="511" t="s">
        <v>30</v>
      </c>
      <c r="C165" s="4129" t="s">
        <v>102</v>
      </c>
      <c r="D165" s="518">
        <f>+D166</f>
        <v>26139471</v>
      </c>
      <c r="E165" s="518">
        <f t="shared" ref="E165:P165" si="202">+E166</f>
        <v>0</v>
      </c>
      <c r="F165" s="518">
        <f t="shared" si="202"/>
        <v>0</v>
      </c>
      <c r="G165" s="518">
        <f t="shared" si="202"/>
        <v>0</v>
      </c>
      <c r="H165" s="518">
        <f t="shared" si="202"/>
        <v>0</v>
      </c>
      <c r="I165" s="518">
        <f t="shared" si="202"/>
        <v>0</v>
      </c>
      <c r="J165" s="518">
        <f t="shared" si="202"/>
        <v>0</v>
      </c>
      <c r="K165" s="518">
        <f t="shared" si="202"/>
        <v>0</v>
      </c>
      <c r="L165" s="518">
        <f t="shared" si="202"/>
        <v>17875275</v>
      </c>
      <c r="M165" s="518">
        <f t="shared" si="202"/>
        <v>25051343</v>
      </c>
      <c r="N165" s="518">
        <f t="shared" si="202"/>
        <v>7176068</v>
      </c>
      <c r="O165" s="518">
        <f t="shared" si="202"/>
        <v>1088128</v>
      </c>
      <c r="P165" s="518">
        <f t="shared" si="202"/>
        <v>0</v>
      </c>
      <c r="Q165" s="518"/>
      <c r="R165" s="518"/>
      <c r="S165" s="518"/>
      <c r="T165" s="518"/>
      <c r="U165" s="518"/>
      <c r="V165" s="518"/>
      <c r="W165" s="518"/>
      <c r="X165" s="4022"/>
      <c r="Y165" s="4124"/>
    </row>
    <row r="166" spans="1:29" s="1230" customFormat="1" ht="12.75" customHeight="1" thickBot="1">
      <c r="A166" s="4118"/>
      <c r="B166" s="519" t="s">
        <v>33</v>
      </c>
      <c r="C166" s="4126"/>
      <c r="D166" s="1653">
        <f t="shared" ref="D166" si="203">M166+O166+P166+Q166+R166+S166+T166+U166+V166+W166</f>
        <v>26139471</v>
      </c>
      <c r="E166" s="498">
        <f>+F166+G166+H166</f>
        <v>0</v>
      </c>
      <c r="F166" s="562">
        <v>0</v>
      </c>
      <c r="G166" s="563">
        <v>0</v>
      </c>
      <c r="H166" s="564">
        <v>0</v>
      </c>
      <c r="I166" s="564">
        <v>0</v>
      </c>
      <c r="J166" s="563">
        <f>41461-41461</f>
        <v>0</v>
      </c>
      <c r="K166" s="563">
        <v>0</v>
      </c>
      <c r="L166" s="564">
        <f>19300000-1300000-124725</f>
        <v>17875275</v>
      </c>
      <c r="M166" s="1652">
        <f>+E166+I166+J166+K166+L166+N166</f>
        <v>25051343</v>
      </c>
      <c r="N166" s="564">
        <f>1100000+6500000+553099+264364-1228054-13341</f>
        <v>7176068</v>
      </c>
      <c r="O166" s="563">
        <f>1228054-108887-30979-60</f>
        <v>1088128</v>
      </c>
      <c r="P166" s="522">
        <v>0</v>
      </c>
      <c r="Q166" s="522"/>
      <c r="R166" s="522"/>
      <c r="S166" s="522"/>
      <c r="T166" s="522"/>
      <c r="U166" s="522"/>
      <c r="V166" s="522"/>
      <c r="W166" s="522"/>
      <c r="X166" s="4023"/>
      <c r="Y166" s="4125"/>
    </row>
    <row r="167" spans="1:29" ht="25.5" customHeight="1">
      <c r="A167" s="4091" t="s">
        <v>105</v>
      </c>
      <c r="B167" s="1654" t="s">
        <v>511</v>
      </c>
      <c r="C167" s="441" t="s">
        <v>98</v>
      </c>
      <c r="D167" s="481"/>
      <c r="E167" s="505"/>
      <c r="F167" s="482"/>
      <c r="G167" s="483"/>
      <c r="H167" s="483"/>
      <c r="I167" s="443"/>
      <c r="J167" s="443"/>
      <c r="K167" s="443"/>
      <c r="L167" s="443"/>
      <c r="M167" s="445"/>
      <c r="N167" s="445"/>
      <c r="O167" s="445"/>
      <c r="P167" s="445"/>
      <c r="Q167" s="445"/>
      <c r="R167" s="445"/>
      <c r="S167" s="445"/>
      <c r="T167" s="445"/>
      <c r="U167" s="445"/>
      <c r="V167" s="445"/>
      <c r="W167" s="445"/>
      <c r="X167" s="446"/>
      <c r="Y167" s="542"/>
      <c r="AC167" s="1233"/>
    </row>
    <row r="168" spans="1:29" ht="11.25" customHeight="1">
      <c r="A168" s="4071"/>
      <c r="B168" s="506" t="s">
        <v>22</v>
      </c>
      <c r="C168" s="382"/>
      <c r="D168" s="485">
        <f>+D169+D171</f>
        <v>12483753</v>
      </c>
      <c r="E168" s="485">
        <f t="shared" ref="E168:P168" si="204">+E169+E171</f>
        <v>10549</v>
      </c>
      <c r="F168" s="485">
        <f t="shared" si="204"/>
        <v>0</v>
      </c>
      <c r="G168" s="485">
        <f t="shared" si="204"/>
        <v>0</v>
      </c>
      <c r="H168" s="485">
        <f t="shared" si="204"/>
        <v>0</v>
      </c>
      <c r="I168" s="485">
        <f t="shared" si="204"/>
        <v>18660</v>
      </c>
      <c r="J168" s="485">
        <f t="shared" si="204"/>
        <v>114255</v>
      </c>
      <c r="K168" s="485">
        <f t="shared" si="204"/>
        <v>166758</v>
      </c>
      <c r="L168" s="485">
        <f t="shared" si="204"/>
        <v>9811984</v>
      </c>
      <c r="M168" s="485">
        <f t="shared" ref="M168" si="205">+M169+M171</f>
        <v>12403753</v>
      </c>
      <c r="N168" s="485">
        <f t="shared" si="204"/>
        <v>2281547</v>
      </c>
      <c r="O168" s="485">
        <f t="shared" si="204"/>
        <v>0</v>
      </c>
      <c r="P168" s="485">
        <f t="shared" si="204"/>
        <v>80000</v>
      </c>
      <c r="Q168" s="485"/>
      <c r="R168" s="485"/>
      <c r="S168" s="485"/>
      <c r="T168" s="485"/>
      <c r="U168" s="485"/>
      <c r="V168" s="485"/>
      <c r="W168" s="485"/>
      <c r="X168" s="487">
        <f>+X169+X171</f>
        <v>80000</v>
      </c>
      <c r="Y168" s="3901" t="s">
        <v>104</v>
      </c>
      <c r="Z168" s="1056"/>
      <c r="AA168" s="1056"/>
      <c r="AB168" s="1056"/>
      <c r="AC168" s="1056"/>
    </row>
    <row r="169" spans="1:29" ht="13.5" customHeight="1">
      <c r="A169" s="4071"/>
      <c r="B169" s="507" t="s">
        <v>36</v>
      </c>
      <c r="C169" s="4129" t="s">
        <v>101</v>
      </c>
      <c r="D169" s="488">
        <f>+D170</f>
        <v>1614900</v>
      </c>
      <c r="E169" s="488">
        <f t="shared" ref="E169:P169" si="206">+E170</f>
        <v>10549</v>
      </c>
      <c r="F169" s="488">
        <f t="shared" si="206"/>
        <v>0</v>
      </c>
      <c r="G169" s="488">
        <f t="shared" si="206"/>
        <v>0</v>
      </c>
      <c r="H169" s="488">
        <f t="shared" si="206"/>
        <v>0</v>
      </c>
      <c r="I169" s="488">
        <f t="shared" si="206"/>
        <v>0</v>
      </c>
      <c r="J169" s="488">
        <f t="shared" si="206"/>
        <v>2295</v>
      </c>
      <c r="K169" s="488">
        <f t="shared" si="206"/>
        <v>0</v>
      </c>
      <c r="L169" s="488">
        <f t="shared" si="206"/>
        <v>539085</v>
      </c>
      <c r="M169" s="488">
        <f t="shared" si="206"/>
        <v>1534900</v>
      </c>
      <c r="N169" s="488">
        <f t="shared" si="206"/>
        <v>982971</v>
      </c>
      <c r="O169" s="488">
        <f t="shared" si="206"/>
        <v>0</v>
      </c>
      <c r="P169" s="488">
        <f t="shared" si="206"/>
        <v>80000</v>
      </c>
      <c r="Q169" s="488"/>
      <c r="R169" s="488"/>
      <c r="S169" s="488"/>
      <c r="T169" s="488"/>
      <c r="U169" s="488"/>
      <c r="V169" s="488"/>
      <c r="W169" s="488"/>
      <c r="X169" s="509">
        <f>+X170</f>
        <v>80000</v>
      </c>
      <c r="Y169" s="3901"/>
      <c r="Z169" s="1056"/>
    </row>
    <row r="170" spans="1:29" ht="12" customHeight="1">
      <c r="A170" s="4071"/>
      <c r="B170" s="491" t="s">
        <v>24</v>
      </c>
      <c r="C170" s="4136"/>
      <c r="D170" s="456">
        <f t="shared" ref="D170" si="207">M170+O170+P170+Q170+R170+S170+T170+U170+V170+W170</f>
        <v>1614900</v>
      </c>
      <c r="E170" s="1655">
        <v>10549</v>
      </c>
      <c r="F170" s="463"/>
      <c r="G170" s="463">
        <v>0</v>
      </c>
      <c r="H170" s="501">
        <v>0</v>
      </c>
      <c r="I170" s="501">
        <v>0</v>
      </c>
      <c r="J170" s="501">
        <v>2295</v>
      </c>
      <c r="K170" s="501">
        <f>43675-43675</f>
        <v>0</v>
      </c>
      <c r="L170" s="463">
        <v>539085</v>
      </c>
      <c r="M170" s="457">
        <f>+E170+I170+J170+K170+L170+N170</f>
        <v>1534900</v>
      </c>
      <c r="N170" s="501">
        <f>1046821-447215-41080+424445</f>
        <v>982971</v>
      </c>
      <c r="O170" s="501">
        <f>41080-41080</f>
        <v>0</v>
      </c>
      <c r="P170" s="464">
        <v>80000</v>
      </c>
      <c r="Q170" s="464"/>
      <c r="R170" s="464"/>
      <c r="S170" s="464"/>
      <c r="T170" s="464"/>
      <c r="U170" s="464"/>
      <c r="V170" s="464"/>
      <c r="W170" s="464"/>
      <c r="X170" s="416">
        <f>SUM(P170:T170)</f>
        <v>80000</v>
      </c>
      <c r="Y170" s="3901"/>
      <c r="Z170" s="1056"/>
    </row>
    <row r="171" spans="1:29" ht="12.75" customHeight="1">
      <c r="A171" s="4071"/>
      <c r="B171" s="547" t="s">
        <v>30</v>
      </c>
      <c r="C171" s="4136"/>
      <c r="D171" s="466">
        <f>+D172</f>
        <v>10868853</v>
      </c>
      <c r="E171" s="466">
        <f t="shared" ref="E171:P171" si="208">+E172</f>
        <v>0</v>
      </c>
      <c r="F171" s="466">
        <f t="shared" si="208"/>
        <v>0</v>
      </c>
      <c r="G171" s="466">
        <f t="shared" si="208"/>
        <v>0</v>
      </c>
      <c r="H171" s="466">
        <f t="shared" si="208"/>
        <v>0</v>
      </c>
      <c r="I171" s="466">
        <f t="shared" si="208"/>
        <v>18660</v>
      </c>
      <c r="J171" s="466">
        <f t="shared" si="208"/>
        <v>111960</v>
      </c>
      <c r="K171" s="466">
        <f t="shared" si="208"/>
        <v>166758</v>
      </c>
      <c r="L171" s="466">
        <f t="shared" si="208"/>
        <v>9272899</v>
      </c>
      <c r="M171" s="466">
        <f t="shared" si="208"/>
        <v>10868853</v>
      </c>
      <c r="N171" s="466">
        <f t="shared" si="208"/>
        <v>1298576</v>
      </c>
      <c r="O171" s="466">
        <f t="shared" si="208"/>
        <v>0</v>
      </c>
      <c r="P171" s="466">
        <f t="shared" si="208"/>
        <v>0</v>
      </c>
      <c r="Q171" s="466"/>
      <c r="R171" s="466"/>
      <c r="S171" s="466"/>
      <c r="T171" s="466"/>
      <c r="U171" s="466"/>
      <c r="V171" s="466"/>
      <c r="W171" s="466"/>
      <c r="X171" s="509">
        <f>+X172</f>
        <v>0</v>
      </c>
      <c r="Y171" s="3901"/>
    </row>
    <row r="172" spans="1:29" ht="12" customHeight="1">
      <c r="A172" s="4071"/>
      <c r="B172" s="510" t="s">
        <v>33</v>
      </c>
      <c r="C172" s="4159"/>
      <c r="D172" s="456">
        <f t="shared" ref="D172" si="209">M172+O172+P172+Q172+R172+S172+T172+U172+V172+W172</f>
        <v>10868853</v>
      </c>
      <c r="E172" s="463">
        <f>+F172+G172+H172</f>
        <v>0</v>
      </c>
      <c r="F172" s="464">
        <v>0</v>
      </c>
      <c r="G172" s="501">
        <v>0</v>
      </c>
      <c r="H172" s="501">
        <v>0</v>
      </c>
      <c r="I172" s="501">
        <f>64968+9107-53465-1950</f>
        <v>18660</v>
      </c>
      <c r="J172" s="501">
        <f>397798+55766-327369-14235</f>
        <v>111960</v>
      </c>
      <c r="K172" s="501">
        <f>123083+43675</f>
        <v>166758</v>
      </c>
      <c r="L172" s="463">
        <f>10974278+2562159-1640000-1811402-273051-539085</f>
        <v>9272899</v>
      </c>
      <c r="M172" s="457">
        <f>+E172+I172+J172+K172+L172+N172</f>
        <v>10868853</v>
      </c>
      <c r="N172" s="463">
        <f>1811402+89236-177617-424445</f>
        <v>1298576</v>
      </c>
      <c r="O172" s="463">
        <v>0</v>
      </c>
      <c r="P172" s="464">
        <v>0</v>
      </c>
      <c r="Q172" s="464"/>
      <c r="R172" s="464"/>
      <c r="S172" s="464"/>
      <c r="T172" s="464"/>
      <c r="U172" s="464"/>
      <c r="V172" s="464"/>
      <c r="W172" s="464"/>
      <c r="X172" s="416">
        <f>SUM(P172:T172)</f>
        <v>0</v>
      </c>
      <c r="Y172" s="4073"/>
    </row>
    <row r="173" spans="1:29" s="1230" customFormat="1" ht="12.75" customHeight="1">
      <c r="A173" s="4071"/>
      <c r="B173" s="512" t="s">
        <v>34</v>
      </c>
      <c r="C173" s="382"/>
      <c r="D173" s="471">
        <f>+D174</f>
        <v>10868853</v>
      </c>
      <c r="E173" s="471">
        <f t="shared" ref="E173:P174" si="210">+E174</f>
        <v>0</v>
      </c>
      <c r="F173" s="471">
        <f t="shared" si="210"/>
        <v>0</v>
      </c>
      <c r="G173" s="471">
        <f t="shared" si="210"/>
        <v>0</v>
      </c>
      <c r="H173" s="471">
        <f t="shared" si="210"/>
        <v>0</v>
      </c>
      <c r="I173" s="471">
        <f t="shared" si="210"/>
        <v>0</v>
      </c>
      <c r="J173" s="471">
        <f t="shared" si="210"/>
        <v>0</v>
      </c>
      <c r="K173" s="471">
        <f t="shared" si="210"/>
        <v>0</v>
      </c>
      <c r="L173" s="471">
        <f t="shared" si="210"/>
        <v>8420990</v>
      </c>
      <c r="M173" s="471">
        <f t="shared" si="210"/>
        <v>10868772</v>
      </c>
      <c r="N173" s="471">
        <f t="shared" si="210"/>
        <v>2447782</v>
      </c>
      <c r="O173" s="471">
        <f t="shared" si="210"/>
        <v>81</v>
      </c>
      <c r="P173" s="471">
        <f t="shared" si="210"/>
        <v>0</v>
      </c>
      <c r="Q173" s="471"/>
      <c r="R173" s="471"/>
      <c r="S173" s="471"/>
      <c r="T173" s="471"/>
      <c r="U173" s="471"/>
      <c r="V173" s="471"/>
      <c r="W173" s="471"/>
      <c r="X173" s="4021" t="s">
        <v>35</v>
      </c>
      <c r="Y173" s="4160" t="s">
        <v>123</v>
      </c>
    </row>
    <row r="174" spans="1:29" s="1232" customFormat="1" ht="12.75" customHeight="1">
      <c r="A174" s="4071"/>
      <c r="B174" s="511" t="s">
        <v>30</v>
      </c>
      <c r="C174" s="4129" t="s">
        <v>102</v>
      </c>
      <c r="D174" s="518">
        <f>+D175</f>
        <v>10868853</v>
      </c>
      <c r="E174" s="518">
        <f t="shared" si="210"/>
        <v>0</v>
      </c>
      <c r="F174" s="518">
        <f t="shared" si="210"/>
        <v>0</v>
      </c>
      <c r="G174" s="518">
        <f t="shared" si="210"/>
        <v>0</v>
      </c>
      <c r="H174" s="518">
        <f t="shared" si="210"/>
        <v>0</v>
      </c>
      <c r="I174" s="518">
        <f t="shared" si="210"/>
        <v>0</v>
      </c>
      <c r="J174" s="518">
        <f t="shared" si="210"/>
        <v>0</v>
      </c>
      <c r="K174" s="543">
        <f t="shared" si="210"/>
        <v>0</v>
      </c>
      <c r="L174" s="543">
        <f t="shared" si="210"/>
        <v>8420990</v>
      </c>
      <c r="M174" s="543">
        <f t="shared" si="210"/>
        <v>10868772</v>
      </c>
      <c r="N174" s="543">
        <f t="shared" si="210"/>
        <v>2447782</v>
      </c>
      <c r="O174" s="543">
        <f t="shared" si="210"/>
        <v>81</v>
      </c>
      <c r="P174" s="518">
        <f t="shared" si="210"/>
        <v>0</v>
      </c>
      <c r="Q174" s="518"/>
      <c r="R174" s="518"/>
      <c r="S174" s="518"/>
      <c r="T174" s="518"/>
      <c r="U174" s="518"/>
      <c r="V174" s="518"/>
      <c r="W174" s="518"/>
      <c r="X174" s="4022"/>
      <c r="Y174" s="3901"/>
    </row>
    <row r="175" spans="1:29" s="1230" customFormat="1" ht="12.75" customHeight="1" thickBot="1">
      <c r="A175" s="4072"/>
      <c r="B175" s="519" t="s">
        <v>33</v>
      </c>
      <c r="C175" s="4126"/>
      <c r="D175" s="1652">
        <f t="shared" ref="D175" si="211">M175+O175+P175+Q175+R175+S175+T175+U175+V175+W175</f>
        <v>10868853</v>
      </c>
      <c r="E175" s="498">
        <f>+F175+G175+H175</f>
        <v>0</v>
      </c>
      <c r="F175" s="562">
        <v>0</v>
      </c>
      <c r="G175" s="563">
        <v>0</v>
      </c>
      <c r="H175" s="564">
        <v>0</v>
      </c>
      <c r="I175" s="564">
        <v>0</v>
      </c>
      <c r="J175" s="563">
        <v>0</v>
      </c>
      <c r="K175" s="563">
        <v>0</v>
      </c>
      <c r="L175" s="563">
        <f>9125000+2225000-640000-2837772+548762</f>
        <v>8420990</v>
      </c>
      <c r="M175" s="1652">
        <f>+E175+I175+J175+K175+L175+N175</f>
        <v>10868772</v>
      </c>
      <c r="N175" s="563">
        <f>2500000-1000000+2837772-748762-177617-963611</f>
        <v>2447782</v>
      </c>
      <c r="O175" s="563">
        <f>963611-424445-539085</f>
        <v>81</v>
      </c>
      <c r="P175" s="522">
        <v>0</v>
      </c>
      <c r="Q175" s="522"/>
      <c r="R175" s="522"/>
      <c r="S175" s="522"/>
      <c r="T175" s="522"/>
      <c r="U175" s="522"/>
      <c r="V175" s="522"/>
      <c r="W175" s="522"/>
      <c r="X175" s="4023"/>
      <c r="Y175" s="3902"/>
    </row>
    <row r="176" spans="1:29" ht="27.75" customHeight="1">
      <c r="A176" s="4091" t="s">
        <v>106</v>
      </c>
      <c r="B176" s="1654" t="s">
        <v>512</v>
      </c>
      <c r="C176" s="480" t="s">
        <v>98</v>
      </c>
      <c r="D176" s="579"/>
      <c r="E176" s="553"/>
      <c r="F176" s="554"/>
      <c r="G176" s="553"/>
      <c r="H176" s="553"/>
      <c r="I176" s="553"/>
      <c r="J176" s="553"/>
      <c r="K176" s="553"/>
      <c r="L176" s="553"/>
      <c r="M176" s="553"/>
      <c r="N176" s="553"/>
      <c r="O176" s="553"/>
      <c r="P176" s="555"/>
      <c r="Q176" s="555"/>
      <c r="R176" s="555"/>
      <c r="S176" s="555"/>
      <c r="T176" s="555"/>
      <c r="U176" s="555"/>
      <c r="V176" s="555"/>
      <c r="W176" s="555"/>
      <c r="X176" s="446"/>
      <c r="Y176" s="542"/>
      <c r="Z176" s="1056"/>
    </row>
    <row r="177" spans="1:26" ht="12" customHeight="1">
      <c r="A177" s="4071"/>
      <c r="B177" s="512" t="s">
        <v>22</v>
      </c>
      <c r="C177" s="382"/>
      <c r="D177" s="3163">
        <f>+D178+D181</f>
        <v>28879881</v>
      </c>
      <c r="E177" s="3163">
        <f t="shared" ref="E177:P177" si="212">+E178+E181</f>
        <v>81977</v>
      </c>
      <c r="F177" s="3163">
        <f t="shared" si="212"/>
        <v>0</v>
      </c>
      <c r="G177" s="3163">
        <f t="shared" si="212"/>
        <v>0</v>
      </c>
      <c r="H177" s="3163">
        <f t="shared" si="212"/>
        <v>0</v>
      </c>
      <c r="I177" s="3163">
        <f t="shared" si="212"/>
        <v>521360</v>
      </c>
      <c r="J177" s="3163">
        <f t="shared" si="212"/>
        <v>92783</v>
      </c>
      <c r="K177" s="3163">
        <f t="shared" si="212"/>
        <v>861723</v>
      </c>
      <c r="L177" s="3163">
        <f t="shared" si="212"/>
        <v>7019176</v>
      </c>
      <c r="M177" s="3163">
        <f t="shared" ref="M177" si="213">+M178+M181</f>
        <v>28794965</v>
      </c>
      <c r="N177" s="3163">
        <f t="shared" si="212"/>
        <v>20217946</v>
      </c>
      <c r="O177" s="2369">
        <f t="shared" si="212"/>
        <v>14915</v>
      </c>
      <c r="P177" s="3163">
        <f t="shared" si="212"/>
        <v>70001</v>
      </c>
      <c r="Q177" s="3163"/>
      <c r="R177" s="3163"/>
      <c r="S177" s="3163"/>
      <c r="T177" s="3163"/>
      <c r="U177" s="3163"/>
      <c r="V177" s="3163"/>
      <c r="W177" s="3163"/>
      <c r="X177" s="2363">
        <f>+X178+X181</f>
        <v>70001</v>
      </c>
      <c r="Y177" s="3901" t="s">
        <v>104</v>
      </c>
    </row>
    <row r="178" spans="1:26" ht="13.5" customHeight="1">
      <c r="A178" s="4071"/>
      <c r="B178" s="535" t="s">
        <v>36</v>
      </c>
      <c r="C178" s="4120" t="s">
        <v>101</v>
      </c>
      <c r="D178" s="3164">
        <f>+D179+D180</f>
        <v>4785577</v>
      </c>
      <c r="E178" s="3164">
        <f t="shared" ref="E178:P178" si="214">+E179+E180</f>
        <v>0</v>
      </c>
      <c r="F178" s="3164">
        <f t="shared" si="214"/>
        <v>0</v>
      </c>
      <c r="G178" s="3164">
        <f t="shared" si="214"/>
        <v>0</v>
      </c>
      <c r="H178" s="3164">
        <f t="shared" si="214"/>
        <v>0</v>
      </c>
      <c r="I178" s="3164">
        <f t="shared" si="214"/>
        <v>154560</v>
      </c>
      <c r="J178" s="3164">
        <f t="shared" si="214"/>
        <v>66783</v>
      </c>
      <c r="K178" s="3164">
        <f t="shared" si="214"/>
        <v>18985</v>
      </c>
      <c r="L178" s="3164">
        <f t="shared" si="214"/>
        <v>772976</v>
      </c>
      <c r="M178" s="3164">
        <f t="shared" ref="M178" si="215">+M179+M180</f>
        <v>4700661</v>
      </c>
      <c r="N178" s="3164">
        <f t="shared" si="214"/>
        <v>3687357</v>
      </c>
      <c r="O178" s="3164">
        <f t="shared" si="214"/>
        <v>14915</v>
      </c>
      <c r="P178" s="3164">
        <f t="shared" si="214"/>
        <v>70001</v>
      </c>
      <c r="Q178" s="3164"/>
      <c r="R178" s="3164"/>
      <c r="S178" s="3164"/>
      <c r="T178" s="3164"/>
      <c r="U178" s="3164"/>
      <c r="V178" s="3164"/>
      <c r="W178" s="3164"/>
      <c r="X178" s="3165">
        <f>+X179+X180</f>
        <v>70001</v>
      </c>
      <c r="Y178" s="3901"/>
      <c r="Z178" s="1056"/>
    </row>
    <row r="179" spans="1:26" ht="11.25" customHeight="1">
      <c r="A179" s="4071"/>
      <c r="B179" s="510" t="s">
        <v>24</v>
      </c>
      <c r="C179" s="4130"/>
      <c r="D179" s="3166">
        <f t="shared" ref="D179:D182" si="216">M179+O179+P179+Q179+R179+S179+T179+U179+V179+W179</f>
        <v>3785577</v>
      </c>
      <c r="E179" s="2368">
        <f>79518+2459-81977</f>
        <v>0</v>
      </c>
      <c r="F179" s="3167">
        <v>0</v>
      </c>
      <c r="G179" s="2370">
        <v>0</v>
      </c>
      <c r="H179" s="2370">
        <v>0</v>
      </c>
      <c r="I179" s="2370">
        <v>154560</v>
      </c>
      <c r="J179" s="2370">
        <v>66783</v>
      </c>
      <c r="K179" s="2370">
        <v>18985</v>
      </c>
      <c r="L179" s="2370">
        <f>2700000-2217033+514066-34101-189956</f>
        <v>772976</v>
      </c>
      <c r="M179" s="3168">
        <f>+E179+I179+J179+K179+L179+N179</f>
        <v>3700661</v>
      </c>
      <c r="N179" s="2370">
        <f>600000+2935934+34101-504029-361236-33703+16290</f>
        <v>2687357</v>
      </c>
      <c r="O179" s="2370">
        <f>175000+30300-120384-70001</f>
        <v>14915</v>
      </c>
      <c r="P179" s="3169">
        <v>70001</v>
      </c>
      <c r="Q179" s="3167"/>
      <c r="R179" s="3167"/>
      <c r="S179" s="3167"/>
      <c r="T179" s="3167"/>
      <c r="U179" s="3167"/>
      <c r="V179" s="3167"/>
      <c r="W179" s="3167"/>
      <c r="X179" s="3170">
        <f>SUM(P179:T179)</f>
        <v>70001</v>
      </c>
      <c r="Y179" s="3901"/>
      <c r="Z179" s="1056"/>
    </row>
    <row r="180" spans="1:26" ht="11.25" customHeight="1">
      <c r="A180" s="4071"/>
      <c r="B180" s="510" t="s">
        <v>27</v>
      </c>
      <c r="C180" s="4130"/>
      <c r="D180" s="3166">
        <f t="shared" si="216"/>
        <v>1000000</v>
      </c>
      <c r="E180" s="3167"/>
      <c r="F180" s="3167"/>
      <c r="G180" s="3169"/>
      <c r="H180" s="3169"/>
      <c r="I180" s="3169"/>
      <c r="J180" s="3169"/>
      <c r="K180" s="3169"/>
      <c r="L180" s="3169"/>
      <c r="M180" s="3168">
        <f>+E180+I180+J180+K180+L180+N180</f>
        <v>1000000</v>
      </c>
      <c r="N180" s="3169">
        <v>1000000</v>
      </c>
      <c r="O180" s="2368"/>
      <c r="P180" s="3167"/>
      <c r="Q180" s="3167"/>
      <c r="R180" s="3167"/>
      <c r="S180" s="3167"/>
      <c r="T180" s="3167"/>
      <c r="U180" s="3167"/>
      <c r="V180" s="3167"/>
      <c r="W180" s="3167"/>
      <c r="X180" s="3170">
        <f>SUM(P180:T180)</f>
        <v>0</v>
      </c>
      <c r="Y180" s="3901"/>
      <c r="Z180" s="1056"/>
    </row>
    <row r="181" spans="1:26" ht="11.25" customHeight="1">
      <c r="A181" s="4071"/>
      <c r="B181" s="511" t="s">
        <v>30</v>
      </c>
      <c r="C181" s="4130"/>
      <c r="D181" s="3171">
        <f>+D182</f>
        <v>24094304</v>
      </c>
      <c r="E181" s="3171">
        <f t="shared" ref="E181:P181" si="217">+E182</f>
        <v>81977</v>
      </c>
      <c r="F181" s="3171">
        <f t="shared" si="217"/>
        <v>0</v>
      </c>
      <c r="G181" s="3171">
        <f t="shared" si="217"/>
        <v>0</v>
      </c>
      <c r="H181" s="3171">
        <f t="shared" si="217"/>
        <v>0</v>
      </c>
      <c r="I181" s="3171">
        <f t="shared" si="217"/>
        <v>366800</v>
      </c>
      <c r="J181" s="3171">
        <f t="shared" si="217"/>
        <v>26000</v>
      </c>
      <c r="K181" s="3171">
        <f t="shared" si="217"/>
        <v>842738</v>
      </c>
      <c r="L181" s="3171">
        <f t="shared" si="217"/>
        <v>6246200</v>
      </c>
      <c r="M181" s="3171">
        <f t="shared" si="217"/>
        <v>24094304</v>
      </c>
      <c r="N181" s="3171">
        <f t="shared" si="217"/>
        <v>16530589</v>
      </c>
      <c r="O181" s="2364">
        <f t="shared" si="217"/>
        <v>0</v>
      </c>
      <c r="P181" s="3171">
        <f t="shared" si="217"/>
        <v>0</v>
      </c>
      <c r="Q181" s="3171"/>
      <c r="R181" s="3171"/>
      <c r="S181" s="3171"/>
      <c r="T181" s="3171"/>
      <c r="U181" s="3171"/>
      <c r="V181" s="3171"/>
      <c r="W181" s="3171"/>
      <c r="X181" s="3165">
        <f>+X182</f>
        <v>0</v>
      </c>
      <c r="Y181" s="3901"/>
    </row>
    <row r="182" spans="1:26" ht="11.25" customHeight="1">
      <c r="A182" s="4071"/>
      <c r="B182" s="3172" t="s">
        <v>33</v>
      </c>
      <c r="C182" s="4161"/>
      <c r="D182" s="3166">
        <f t="shared" si="216"/>
        <v>24094304</v>
      </c>
      <c r="E182" s="3173">
        <v>81977</v>
      </c>
      <c r="F182" s="3174">
        <v>0</v>
      </c>
      <c r="G182" s="3175">
        <v>0</v>
      </c>
      <c r="H182" s="3175">
        <v>0</v>
      </c>
      <c r="I182" s="3175">
        <v>366800</v>
      </c>
      <c r="J182" s="3175">
        <v>26000</v>
      </c>
      <c r="K182" s="3175">
        <v>842738</v>
      </c>
      <c r="L182" s="3173">
        <f>5217033-514066+1353277+189956</f>
        <v>6246200</v>
      </c>
      <c r="M182" s="3168">
        <f>+E182+I182+J182+K182+L182+N182</f>
        <v>24094304</v>
      </c>
      <c r="N182" s="3173">
        <f>24725124-6435934-1353277-170971-210286-7777-16290</f>
        <v>16530589</v>
      </c>
      <c r="O182" s="3173">
        <v>0</v>
      </c>
      <c r="P182" s="3174">
        <v>0</v>
      </c>
      <c r="Q182" s="3174"/>
      <c r="R182" s="3174"/>
      <c r="S182" s="3174"/>
      <c r="T182" s="3174"/>
      <c r="U182" s="3174"/>
      <c r="V182" s="3174"/>
      <c r="W182" s="3174"/>
      <c r="X182" s="3170">
        <f>SUM(P182:T182)</f>
        <v>0</v>
      </c>
      <c r="Y182" s="4073"/>
    </row>
    <row r="183" spans="1:26" s="1230" customFormat="1" ht="11.25" customHeight="1">
      <c r="A183" s="4117"/>
      <c r="B183" s="381" t="s">
        <v>34</v>
      </c>
      <c r="C183" s="382"/>
      <c r="D183" s="3176">
        <f>+D186+D184</f>
        <v>25094304</v>
      </c>
      <c r="E183" s="3176">
        <f t="shared" ref="E183:P183" si="218">+E186+E184</f>
        <v>0</v>
      </c>
      <c r="F183" s="3176">
        <f t="shared" si="218"/>
        <v>0</v>
      </c>
      <c r="G183" s="3176">
        <f t="shared" si="218"/>
        <v>0</v>
      </c>
      <c r="H183" s="3176">
        <f t="shared" si="218"/>
        <v>0</v>
      </c>
      <c r="I183" s="3176">
        <f t="shared" si="218"/>
        <v>0</v>
      </c>
      <c r="J183" s="3176">
        <f t="shared" si="218"/>
        <v>0</v>
      </c>
      <c r="K183" s="3176">
        <f t="shared" si="218"/>
        <v>0</v>
      </c>
      <c r="L183" s="3176">
        <f t="shared" si="218"/>
        <v>0</v>
      </c>
      <c r="M183" s="3176">
        <f t="shared" ref="M183" si="219">+M186+M184</f>
        <v>25094304</v>
      </c>
      <c r="N183" s="3176">
        <f t="shared" si="218"/>
        <v>25094304</v>
      </c>
      <c r="O183" s="3176">
        <f t="shared" si="218"/>
        <v>0</v>
      </c>
      <c r="P183" s="3176">
        <f t="shared" si="218"/>
        <v>0</v>
      </c>
      <c r="Q183" s="3176"/>
      <c r="R183" s="3176"/>
      <c r="S183" s="3176"/>
      <c r="T183" s="3176"/>
      <c r="U183" s="3176"/>
      <c r="V183" s="3176"/>
      <c r="W183" s="3176"/>
      <c r="X183" s="4167" t="s">
        <v>35</v>
      </c>
      <c r="Y183" s="4123" t="s">
        <v>123</v>
      </c>
    </row>
    <row r="184" spans="1:26" ht="13.5" customHeight="1">
      <c r="A184" s="4117"/>
      <c r="B184" s="3177" t="s">
        <v>36</v>
      </c>
      <c r="C184" s="4120" t="s">
        <v>102</v>
      </c>
      <c r="D184" s="472">
        <f>+D185</f>
        <v>1000000</v>
      </c>
      <c r="E184" s="472">
        <f t="shared" ref="E184:P184" si="220">+E185</f>
        <v>0</v>
      </c>
      <c r="F184" s="472">
        <f t="shared" si="220"/>
        <v>0</v>
      </c>
      <c r="G184" s="472">
        <f t="shared" si="220"/>
        <v>0</v>
      </c>
      <c r="H184" s="472">
        <f t="shared" si="220"/>
        <v>0</v>
      </c>
      <c r="I184" s="472">
        <f t="shared" si="220"/>
        <v>0</v>
      </c>
      <c r="J184" s="472">
        <f t="shared" si="220"/>
        <v>0</v>
      </c>
      <c r="K184" s="472">
        <f t="shared" si="220"/>
        <v>0</v>
      </c>
      <c r="L184" s="472">
        <f t="shared" si="220"/>
        <v>0</v>
      </c>
      <c r="M184" s="472">
        <f t="shared" si="220"/>
        <v>1000000</v>
      </c>
      <c r="N184" s="472">
        <f t="shared" si="220"/>
        <v>1000000</v>
      </c>
      <c r="O184" s="472">
        <f t="shared" si="220"/>
        <v>0</v>
      </c>
      <c r="P184" s="472">
        <f t="shared" si="220"/>
        <v>0</v>
      </c>
      <c r="Q184" s="472"/>
      <c r="R184" s="472"/>
      <c r="S184" s="472"/>
      <c r="T184" s="472"/>
      <c r="U184" s="472"/>
      <c r="V184" s="472"/>
      <c r="W184" s="472"/>
      <c r="X184" s="4168"/>
      <c r="Y184" s="4124"/>
    </row>
    <row r="185" spans="1:26" ht="11.25" customHeight="1">
      <c r="A185" s="4117"/>
      <c r="B185" s="549" t="s">
        <v>27</v>
      </c>
      <c r="C185" s="4136"/>
      <c r="D185" s="3166">
        <f t="shared" ref="D185" si="221">M185+O185+P185+Q185+R185+S185+T185+U185+V185+W185</f>
        <v>1000000</v>
      </c>
      <c r="E185" s="2367">
        <f>+F185+G185+H185</f>
        <v>0</v>
      </c>
      <c r="F185" s="2367">
        <v>0</v>
      </c>
      <c r="G185" s="2367">
        <v>0</v>
      </c>
      <c r="H185" s="2367">
        <v>0</v>
      </c>
      <c r="I185" s="2367">
        <v>0</v>
      </c>
      <c r="J185" s="2367">
        <v>0</v>
      </c>
      <c r="K185" s="2367">
        <v>0</v>
      </c>
      <c r="L185" s="2367">
        <v>0</v>
      </c>
      <c r="M185" s="3168">
        <f>+E185+I185+J185+K185+L185+N185</f>
        <v>1000000</v>
      </c>
      <c r="N185" s="2367">
        <v>1000000</v>
      </c>
      <c r="O185" s="2367">
        <v>0</v>
      </c>
      <c r="P185" s="2367">
        <v>0</v>
      </c>
      <c r="Q185" s="2367"/>
      <c r="R185" s="2367"/>
      <c r="S185" s="2367"/>
      <c r="T185" s="2367"/>
      <c r="U185" s="2367"/>
      <c r="V185" s="2367"/>
      <c r="W185" s="2367"/>
      <c r="X185" s="4168"/>
      <c r="Y185" s="4124"/>
    </row>
    <row r="186" spans="1:26" s="1232" customFormat="1">
      <c r="A186" s="4117"/>
      <c r="B186" s="525" t="s">
        <v>30</v>
      </c>
      <c r="C186" s="4136"/>
      <c r="D186" s="3178">
        <f>+D187</f>
        <v>24094304</v>
      </c>
      <c r="E186" s="3178">
        <f t="shared" ref="E186:P186" si="222">+E187</f>
        <v>0</v>
      </c>
      <c r="F186" s="3178">
        <f t="shared" si="222"/>
        <v>0</v>
      </c>
      <c r="G186" s="3178">
        <f t="shared" si="222"/>
        <v>0</v>
      </c>
      <c r="H186" s="3178">
        <f t="shared" si="222"/>
        <v>0</v>
      </c>
      <c r="I186" s="3178">
        <f t="shared" si="222"/>
        <v>0</v>
      </c>
      <c r="J186" s="3178">
        <f t="shared" si="222"/>
        <v>0</v>
      </c>
      <c r="K186" s="3178">
        <f t="shared" si="222"/>
        <v>0</v>
      </c>
      <c r="L186" s="3178">
        <f t="shared" si="222"/>
        <v>0</v>
      </c>
      <c r="M186" s="3178">
        <f t="shared" si="222"/>
        <v>24094304</v>
      </c>
      <c r="N186" s="3178">
        <f t="shared" si="222"/>
        <v>24094304</v>
      </c>
      <c r="O186" s="3179">
        <f t="shared" si="222"/>
        <v>0</v>
      </c>
      <c r="P186" s="3178">
        <f t="shared" si="222"/>
        <v>0</v>
      </c>
      <c r="Q186" s="3178"/>
      <c r="R186" s="3178"/>
      <c r="S186" s="3178"/>
      <c r="T186" s="3178"/>
      <c r="U186" s="3178"/>
      <c r="V186" s="3178"/>
      <c r="W186" s="3178"/>
      <c r="X186" s="4168"/>
      <c r="Y186" s="4124"/>
    </row>
    <row r="187" spans="1:26" s="1230" customFormat="1" ht="13.5" thickBot="1">
      <c r="A187" s="4118"/>
      <c r="B187" s="519" t="s">
        <v>33</v>
      </c>
      <c r="C187" s="4137"/>
      <c r="D187" s="1652">
        <f>M187+O187+P187+Q187+R187+S187+T187+U187+V187+W187</f>
        <v>24094304</v>
      </c>
      <c r="E187" s="498">
        <f>+F187+G187+H187</f>
        <v>0</v>
      </c>
      <c r="F187" s="541">
        <v>0</v>
      </c>
      <c r="G187" s="541">
        <v>0</v>
      </c>
      <c r="H187" s="541">
        <v>0</v>
      </c>
      <c r="I187" s="541">
        <v>0</v>
      </c>
      <c r="J187" s="541">
        <v>0</v>
      </c>
      <c r="K187" s="541">
        <v>0</v>
      </c>
      <c r="L187" s="541">
        <f>4000000-500000-3500000</f>
        <v>0</v>
      </c>
      <c r="M187" s="1652">
        <f>+E187+I187+J187+K187+L187+N187</f>
        <v>24094304</v>
      </c>
      <c r="N187" s="541">
        <f>25000000-5950000+3500000+1623178-54807-7777-16290</f>
        <v>24094304</v>
      </c>
      <c r="O187" s="541">
        <f>2500000-500000-1844521-155479</f>
        <v>0</v>
      </c>
      <c r="P187" s="1423">
        <v>0</v>
      </c>
      <c r="Q187" s="1423"/>
      <c r="R187" s="1423"/>
      <c r="S187" s="1423"/>
      <c r="T187" s="1423"/>
      <c r="U187" s="1423"/>
      <c r="V187" s="1423"/>
      <c r="W187" s="1423"/>
      <c r="X187" s="4169"/>
      <c r="Y187" s="4125"/>
    </row>
    <row r="188" spans="1:26" ht="26.25" customHeight="1">
      <c r="A188" s="4091" t="s">
        <v>107</v>
      </c>
      <c r="B188" s="2857" t="s">
        <v>576</v>
      </c>
      <c r="C188" s="2859" t="s">
        <v>98</v>
      </c>
      <c r="D188" s="1946"/>
      <c r="E188" s="1948"/>
      <c r="F188" s="1948"/>
      <c r="G188" s="1947"/>
      <c r="H188" s="1947"/>
      <c r="I188" s="1947"/>
      <c r="J188" s="1947"/>
      <c r="K188" s="1947"/>
      <c r="L188" s="1947"/>
      <c r="M188" s="1949"/>
      <c r="N188" s="1949"/>
      <c r="O188" s="1949"/>
      <c r="P188" s="1949"/>
      <c r="Q188" s="555"/>
      <c r="R188" s="555"/>
      <c r="S188" s="555"/>
      <c r="T188" s="555"/>
      <c r="U188" s="555"/>
      <c r="V188" s="555"/>
      <c r="W188" s="555"/>
      <c r="X188" s="1656"/>
      <c r="Y188" s="542"/>
    </row>
    <row r="189" spans="1:26" ht="13.5" customHeight="1">
      <c r="A189" s="4071"/>
      <c r="B189" s="1822" t="s">
        <v>22</v>
      </c>
      <c r="C189" s="1796"/>
      <c r="D189" s="1952">
        <f>+D190+D192</f>
        <v>44204727</v>
      </c>
      <c r="E189" s="1952">
        <f t="shared" ref="E189:P189" si="223">+E190+E192</f>
        <v>45985</v>
      </c>
      <c r="F189" s="1952">
        <f t="shared" si="223"/>
        <v>0</v>
      </c>
      <c r="G189" s="1952">
        <f t="shared" si="223"/>
        <v>0</v>
      </c>
      <c r="H189" s="1952">
        <f t="shared" si="223"/>
        <v>0</v>
      </c>
      <c r="I189" s="1952">
        <f t="shared" si="223"/>
        <v>81340</v>
      </c>
      <c r="J189" s="1952">
        <f t="shared" si="223"/>
        <v>498045</v>
      </c>
      <c r="K189" s="1952">
        <f t="shared" si="223"/>
        <v>0</v>
      </c>
      <c r="L189" s="1952">
        <f t="shared" si="223"/>
        <v>14965</v>
      </c>
      <c r="M189" s="1952">
        <f t="shared" ref="M189" si="224">+M190+M192</f>
        <v>6211821</v>
      </c>
      <c r="N189" s="1952">
        <f t="shared" si="223"/>
        <v>5571486</v>
      </c>
      <c r="O189" s="1952">
        <f t="shared" si="223"/>
        <v>37942906</v>
      </c>
      <c r="P189" s="1952">
        <f t="shared" si="223"/>
        <v>50000</v>
      </c>
      <c r="Q189" s="485"/>
      <c r="R189" s="485"/>
      <c r="S189" s="485"/>
      <c r="T189" s="485"/>
      <c r="U189" s="485"/>
      <c r="V189" s="485"/>
      <c r="W189" s="485"/>
      <c r="X189" s="487">
        <f>+X190+X192</f>
        <v>50000</v>
      </c>
      <c r="Y189" s="3901" t="s">
        <v>104</v>
      </c>
      <c r="Z189" s="1229">
        <f>+O189+P189</f>
        <v>37992906</v>
      </c>
    </row>
    <row r="190" spans="1:26" ht="13.5" customHeight="1">
      <c r="A190" s="4071"/>
      <c r="B190" s="1954" t="s">
        <v>36</v>
      </c>
      <c r="C190" s="4108" t="s">
        <v>101</v>
      </c>
      <c r="D190" s="1955">
        <f>+D191</f>
        <v>2490369</v>
      </c>
      <c r="E190" s="1955">
        <f t="shared" ref="E190:P190" si="225">+E191</f>
        <v>45985</v>
      </c>
      <c r="F190" s="1955">
        <f t="shared" si="225"/>
        <v>0</v>
      </c>
      <c r="G190" s="1955">
        <f t="shared" si="225"/>
        <v>0</v>
      </c>
      <c r="H190" s="1955">
        <f t="shared" si="225"/>
        <v>0</v>
      </c>
      <c r="I190" s="1955">
        <f t="shared" si="225"/>
        <v>0</v>
      </c>
      <c r="J190" s="1955">
        <f t="shared" si="225"/>
        <v>10005</v>
      </c>
      <c r="K190" s="1955">
        <f t="shared" si="225"/>
        <v>0</v>
      </c>
      <c r="L190" s="1955">
        <f t="shared" si="225"/>
        <v>0</v>
      </c>
      <c r="M190" s="1955">
        <f t="shared" si="225"/>
        <v>111462</v>
      </c>
      <c r="N190" s="1955">
        <f t="shared" si="225"/>
        <v>55472</v>
      </c>
      <c r="O190" s="1955">
        <f t="shared" si="225"/>
        <v>2328907</v>
      </c>
      <c r="P190" s="1955">
        <f t="shared" si="225"/>
        <v>50000</v>
      </c>
      <c r="Q190" s="488"/>
      <c r="R190" s="488"/>
      <c r="S190" s="488"/>
      <c r="T190" s="488"/>
      <c r="U190" s="488"/>
      <c r="V190" s="488"/>
      <c r="W190" s="488"/>
      <c r="X190" s="489">
        <f>+X191</f>
        <v>50000</v>
      </c>
      <c r="Y190" s="3901"/>
      <c r="Z190" s="1056"/>
    </row>
    <row r="191" spans="1:26" ht="13.5" customHeight="1">
      <c r="A191" s="4071"/>
      <c r="B191" s="1957" t="s">
        <v>24</v>
      </c>
      <c r="C191" s="4109"/>
      <c r="D191" s="1958">
        <f t="shared" ref="D191" si="226">M191+O191+P191+Q191+R191+S191+T191+U191+V191+W191</f>
        <v>2490369</v>
      </c>
      <c r="E191" s="1820">
        <v>45985</v>
      </c>
      <c r="F191" s="1820">
        <v>0</v>
      </c>
      <c r="G191" s="1371"/>
      <c r="H191" s="1371">
        <v>0</v>
      </c>
      <c r="I191" s="1371">
        <v>0</v>
      </c>
      <c r="J191" s="1371">
        <v>10005</v>
      </c>
      <c r="K191" s="1371"/>
      <c r="L191" s="1371">
        <v>0</v>
      </c>
      <c r="M191" s="1961">
        <f>+E191+I191+J191+K191+L191+N191</f>
        <v>111462</v>
      </c>
      <c r="N191" s="1820">
        <f>7161720-7134721+16419+12054</f>
        <v>55472</v>
      </c>
      <c r="O191" s="1820">
        <f>22109790+1683456+807937-19380934-1550147-964153-100000-277042</f>
        <v>2328907</v>
      </c>
      <c r="P191" s="1820">
        <f>40000+10000</f>
        <v>50000</v>
      </c>
      <c r="Q191" s="463"/>
      <c r="R191" s="463"/>
      <c r="S191" s="464"/>
      <c r="T191" s="464"/>
      <c r="U191" s="464"/>
      <c r="V191" s="464"/>
      <c r="W191" s="464"/>
      <c r="X191" s="416">
        <f>SUM(P191:T191)</f>
        <v>50000</v>
      </c>
      <c r="Y191" s="3901"/>
    </row>
    <row r="192" spans="1:26" ht="13.5" customHeight="1">
      <c r="A192" s="4071"/>
      <c r="B192" s="1851" t="s">
        <v>30</v>
      </c>
      <c r="C192" s="4109"/>
      <c r="D192" s="1811">
        <f>+D193</f>
        <v>41714358</v>
      </c>
      <c r="E192" s="1811">
        <f t="shared" ref="E192:P192" si="227">+E193</f>
        <v>0</v>
      </c>
      <c r="F192" s="1811">
        <f t="shared" si="227"/>
        <v>0</v>
      </c>
      <c r="G192" s="1811">
        <f t="shared" si="227"/>
        <v>0</v>
      </c>
      <c r="H192" s="1811">
        <f t="shared" si="227"/>
        <v>0</v>
      </c>
      <c r="I192" s="1811">
        <f t="shared" si="227"/>
        <v>81340</v>
      </c>
      <c r="J192" s="1811">
        <f t="shared" si="227"/>
        <v>488040</v>
      </c>
      <c r="K192" s="1811">
        <f t="shared" si="227"/>
        <v>0</v>
      </c>
      <c r="L192" s="1811">
        <f t="shared" si="227"/>
        <v>14965</v>
      </c>
      <c r="M192" s="1811">
        <f t="shared" si="227"/>
        <v>6100359</v>
      </c>
      <c r="N192" s="1811">
        <f t="shared" si="227"/>
        <v>5516014</v>
      </c>
      <c r="O192" s="1811">
        <f t="shared" si="227"/>
        <v>35613999</v>
      </c>
      <c r="P192" s="1811">
        <f t="shared" si="227"/>
        <v>0</v>
      </c>
      <c r="Q192" s="466"/>
      <c r="R192" s="466"/>
      <c r="S192" s="466"/>
      <c r="T192" s="466"/>
      <c r="U192" s="466"/>
      <c r="V192" s="466"/>
      <c r="W192" s="466"/>
      <c r="X192" s="489">
        <f>+X193</f>
        <v>0</v>
      </c>
      <c r="Y192" s="3901"/>
    </row>
    <row r="193" spans="1:26" ht="13.5" customHeight="1">
      <c r="A193" s="4071"/>
      <c r="B193" s="1965" t="s">
        <v>33</v>
      </c>
      <c r="C193" s="4109"/>
      <c r="D193" s="1958">
        <f t="shared" ref="D193" si="228">M193+O193+P193+Q193+R193+S193+T193+U193+V193+W193</f>
        <v>41714358</v>
      </c>
      <c r="E193" s="1820"/>
      <c r="F193" s="1959">
        <v>0</v>
      </c>
      <c r="G193" s="2828"/>
      <c r="H193" s="1371">
        <v>0</v>
      </c>
      <c r="I193" s="1371">
        <v>81340</v>
      </c>
      <c r="J193" s="1371">
        <v>488040</v>
      </c>
      <c r="K193" s="1371"/>
      <c r="L193" s="1820">
        <v>14965</v>
      </c>
      <c r="M193" s="1961">
        <f>+E193+I193+J193+K193+L193+N193</f>
        <v>6100359</v>
      </c>
      <c r="N193" s="1820">
        <f>2000000-453540+3998027-16419-12054</f>
        <v>5516014</v>
      </c>
      <c r="O193" s="1820">
        <f>10900000+453540+22517628+2459854-22346-666969-27708</f>
        <v>35613999</v>
      </c>
      <c r="P193" s="1820">
        <v>0</v>
      </c>
      <c r="Q193" s="463"/>
      <c r="R193" s="463"/>
      <c r="S193" s="464"/>
      <c r="T193" s="464"/>
      <c r="U193" s="464"/>
      <c r="V193" s="464"/>
      <c r="W193" s="464"/>
      <c r="X193" s="416">
        <f>SUM(P193:T193)</f>
        <v>0</v>
      </c>
      <c r="Y193" s="4073"/>
    </row>
    <row r="194" spans="1:26" s="1230" customFormat="1" ht="12.75" customHeight="1">
      <c r="A194" s="4117"/>
      <c r="B194" s="1822" t="s">
        <v>34</v>
      </c>
      <c r="C194" s="1796"/>
      <c r="D194" s="1797">
        <f>+D195</f>
        <v>41714358</v>
      </c>
      <c r="E194" s="1797">
        <f t="shared" ref="E194:P195" si="229">+E195</f>
        <v>0</v>
      </c>
      <c r="F194" s="1797">
        <f t="shared" si="229"/>
        <v>0</v>
      </c>
      <c r="G194" s="1797">
        <f t="shared" si="229"/>
        <v>0</v>
      </c>
      <c r="H194" s="1797">
        <f t="shared" si="229"/>
        <v>0</v>
      </c>
      <c r="I194" s="1797">
        <f t="shared" si="229"/>
        <v>0</v>
      </c>
      <c r="J194" s="1797">
        <f t="shared" si="229"/>
        <v>0</v>
      </c>
      <c r="K194" s="1797">
        <f t="shared" si="229"/>
        <v>0</v>
      </c>
      <c r="L194" s="1797">
        <f t="shared" si="229"/>
        <v>0</v>
      </c>
      <c r="M194" s="1797">
        <f t="shared" si="229"/>
        <v>0</v>
      </c>
      <c r="N194" s="1797">
        <f t="shared" si="229"/>
        <v>0</v>
      </c>
      <c r="O194" s="1797">
        <f t="shared" si="229"/>
        <v>41667796</v>
      </c>
      <c r="P194" s="1797">
        <f t="shared" si="229"/>
        <v>46562</v>
      </c>
      <c r="Q194" s="471"/>
      <c r="R194" s="471"/>
      <c r="S194" s="471"/>
      <c r="T194" s="471"/>
      <c r="U194" s="471"/>
      <c r="V194" s="471"/>
      <c r="W194" s="471"/>
      <c r="X194" s="4008" t="s">
        <v>35</v>
      </c>
      <c r="Y194" s="4149" t="s">
        <v>123</v>
      </c>
    </row>
    <row r="195" spans="1:26" s="1232" customFormat="1" ht="12.75" customHeight="1">
      <c r="A195" s="4117"/>
      <c r="B195" s="1851" t="s">
        <v>30</v>
      </c>
      <c r="C195" s="4108" t="s">
        <v>102</v>
      </c>
      <c r="D195" s="1968">
        <f>+D196</f>
        <v>41714358</v>
      </c>
      <c r="E195" s="1967">
        <f t="shared" si="229"/>
        <v>0</v>
      </c>
      <c r="F195" s="1967">
        <f t="shared" si="229"/>
        <v>0</v>
      </c>
      <c r="G195" s="1967">
        <f t="shared" si="229"/>
        <v>0</v>
      </c>
      <c r="H195" s="1967">
        <f t="shared" si="229"/>
        <v>0</v>
      </c>
      <c r="I195" s="1967">
        <f t="shared" si="229"/>
        <v>0</v>
      </c>
      <c r="J195" s="1967">
        <f t="shared" si="229"/>
        <v>0</v>
      </c>
      <c r="K195" s="1967">
        <f t="shared" si="229"/>
        <v>0</v>
      </c>
      <c r="L195" s="1967">
        <f t="shared" si="229"/>
        <v>0</v>
      </c>
      <c r="M195" s="1967">
        <f t="shared" si="229"/>
        <v>0</v>
      </c>
      <c r="N195" s="1967">
        <f t="shared" si="229"/>
        <v>0</v>
      </c>
      <c r="O195" s="1968">
        <f t="shared" si="229"/>
        <v>41667796</v>
      </c>
      <c r="P195" s="1968">
        <f t="shared" si="229"/>
        <v>46562</v>
      </c>
      <c r="Q195" s="543"/>
      <c r="R195" s="518"/>
      <c r="S195" s="518"/>
      <c r="T195" s="518"/>
      <c r="U195" s="518"/>
      <c r="V195" s="518"/>
      <c r="W195" s="518"/>
      <c r="X195" s="4009"/>
      <c r="Y195" s="4124"/>
    </row>
    <row r="196" spans="1:26" s="1232" customFormat="1" ht="12.75" customHeight="1" thickBot="1">
      <c r="A196" s="4118"/>
      <c r="B196" s="1970" t="s">
        <v>33</v>
      </c>
      <c r="C196" s="4110"/>
      <c r="D196" s="2274">
        <f t="shared" ref="D196" si="230">M196+O196+P196+Q196+R196+S196+T196+U196+V196+W196</f>
        <v>41714358</v>
      </c>
      <c r="E196" s="1971">
        <f>+F196+G196+H196</f>
        <v>0</v>
      </c>
      <c r="F196" s="1972">
        <v>0</v>
      </c>
      <c r="G196" s="1971">
        <v>0</v>
      </c>
      <c r="H196" s="1971">
        <v>0</v>
      </c>
      <c r="I196" s="1971">
        <v>0</v>
      </c>
      <c r="J196" s="1971">
        <v>0</v>
      </c>
      <c r="K196" s="1971">
        <v>0</v>
      </c>
      <c r="L196" s="1971">
        <v>0</v>
      </c>
      <c r="M196" s="1961">
        <f>+E196+I196+J196+K196+L196+N196</f>
        <v>0</v>
      </c>
      <c r="N196" s="1971">
        <v>0</v>
      </c>
      <c r="O196" s="1973">
        <f>40000000+1750000-73279-8925</f>
        <v>41667796</v>
      </c>
      <c r="P196" s="2858">
        <f>2459854-1788765-593690-30837</f>
        <v>46562</v>
      </c>
      <c r="Q196" s="1657"/>
      <c r="R196" s="575"/>
      <c r="S196" s="575"/>
      <c r="T196" s="575"/>
      <c r="U196" s="575"/>
      <c r="V196" s="575"/>
      <c r="W196" s="575"/>
      <c r="X196" s="4010"/>
      <c r="Y196" s="4125"/>
    </row>
    <row r="197" spans="1:26" ht="26.25" customHeight="1">
      <c r="A197" s="4091" t="s">
        <v>109</v>
      </c>
      <c r="B197" s="1424" t="s">
        <v>456</v>
      </c>
      <c r="C197" s="441" t="s">
        <v>98</v>
      </c>
      <c r="D197" s="579"/>
      <c r="E197" s="554"/>
      <c r="F197" s="554"/>
      <c r="G197" s="553"/>
      <c r="H197" s="553"/>
      <c r="I197" s="553"/>
      <c r="J197" s="553"/>
      <c r="K197" s="553"/>
      <c r="L197" s="553"/>
      <c r="M197" s="555"/>
      <c r="N197" s="555"/>
      <c r="O197" s="555"/>
      <c r="P197" s="555"/>
      <c r="Q197" s="555"/>
      <c r="R197" s="555"/>
      <c r="S197" s="1157"/>
      <c r="T197" s="1157"/>
      <c r="U197" s="1157"/>
      <c r="V197" s="1157"/>
      <c r="W197" s="1157"/>
      <c r="X197" s="556"/>
      <c r="Y197" s="542"/>
    </row>
    <row r="198" spans="1:26" ht="13.5" customHeight="1">
      <c r="A198" s="4071"/>
      <c r="B198" s="381" t="s">
        <v>22</v>
      </c>
      <c r="C198" s="382"/>
      <c r="D198" s="485">
        <f>+D199+D201</f>
        <v>3559294</v>
      </c>
      <c r="E198" s="485">
        <f t="shared" ref="E198:P198" si="231">+E199+E201</f>
        <v>0</v>
      </c>
      <c r="F198" s="485">
        <f t="shared" si="231"/>
        <v>0</v>
      </c>
      <c r="G198" s="485">
        <f t="shared" si="231"/>
        <v>0</v>
      </c>
      <c r="H198" s="485">
        <f t="shared" si="231"/>
        <v>0</v>
      </c>
      <c r="I198" s="485">
        <f t="shared" si="231"/>
        <v>315360</v>
      </c>
      <c r="J198" s="485">
        <f t="shared" si="231"/>
        <v>243934</v>
      </c>
      <c r="K198" s="485">
        <f t="shared" si="231"/>
        <v>0</v>
      </c>
      <c r="L198" s="485">
        <f t="shared" si="231"/>
        <v>0</v>
      </c>
      <c r="M198" s="485">
        <f t="shared" ref="M198" si="232">+M199+M201</f>
        <v>559294</v>
      </c>
      <c r="N198" s="485">
        <f t="shared" si="231"/>
        <v>0</v>
      </c>
      <c r="O198" s="485">
        <f t="shared" si="231"/>
        <v>0</v>
      </c>
      <c r="P198" s="485">
        <f t="shared" si="231"/>
        <v>3000000</v>
      </c>
      <c r="Q198" s="485"/>
      <c r="R198" s="485"/>
      <c r="S198" s="485"/>
      <c r="T198" s="485"/>
      <c r="U198" s="485"/>
      <c r="V198" s="485"/>
      <c r="W198" s="485"/>
      <c r="X198" s="487">
        <f>+X199+X201</f>
        <v>3000000</v>
      </c>
      <c r="Y198" s="3901" t="s">
        <v>104</v>
      </c>
      <c r="Z198" s="1056"/>
    </row>
    <row r="199" spans="1:26" ht="13.5" customHeight="1">
      <c r="A199" s="4071"/>
      <c r="B199" s="533" t="s">
        <v>36</v>
      </c>
      <c r="C199" s="4129" t="s">
        <v>101</v>
      </c>
      <c r="D199" s="488">
        <f>+D200</f>
        <v>3559294</v>
      </c>
      <c r="E199" s="488">
        <f t="shared" ref="E199:P199" si="233">+E200</f>
        <v>0</v>
      </c>
      <c r="F199" s="488">
        <f t="shared" si="233"/>
        <v>0</v>
      </c>
      <c r="G199" s="488">
        <f t="shared" si="233"/>
        <v>0</v>
      </c>
      <c r="H199" s="488">
        <f t="shared" si="233"/>
        <v>0</v>
      </c>
      <c r="I199" s="488">
        <f t="shared" si="233"/>
        <v>315360</v>
      </c>
      <c r="J199" s="488">
        <f t="shared" si="233"/>
        <v>243934</v>
      </c>
      <c r="K199" s="488">
        <f t="shared" si="233"/>
        <v>0</v>
      </c>
      <c r="L199" s="488">
        <f t="shared" si="233"/>
        <v>0</v>
      </c>
      <c r="M199" s="488">
        <f t="shared" si="233"/>
        <v>559294</v>
      </c>
      <c r="N199" s="488">
        <f t="shared" si="233"/>
        <v>0</v>
      </c>
      <c r="O199" s="488">
        <f t="shared" si="233"/>
        <v>0</v>
      </c>
      <c r="P199" s="488">
        <f t="shared" si="233"/>
        <v>3000000</v>
      </c>
      <c r="Q199" s="488"/>
      <c r="R199" s="488"/>
      <c r="S199" s="488"/>
      <c r="T199" s="488"/>
      <c r="U199" s="488"/>
      <c r="V199" s="488"/>
      <c r="W199" s="488"/>
      <c r="X199" s="509">
        <f>+X200</f>
        <v>3000000</v>
      </c>
      <c r="Y199" s="3901"/>
      <c r="Z199" s="1056"/>
    </row>
    <row r="200" spans="1:26" ht="13.5" customHeight="1" thickBot="1">
      <c r="A200" s="4071"/>
      <c r="B200" s="534" t="s">
        <v>24</v>
      </c>
      <c r="C200" s="4130"/>
      <c r="D200" s="456">
        <f t="shared" ref="D200" si="234">M200+O200+P200+Q200+R200+S200+T200+U200+V200+W200</f>
        <v>3559294</v>
      </c>
      <c r="E200" s="463">
        <f>+F200+G200+H200</f>
        <v>0</v>
      </c>
      <c r="F200" s="464">
        <v>0</v>
      </c>
      <c r="G200" s="463">
        <v>0</v>
      </c>
      <c r="H200" s="463">
        <v>0</v>
      </c>
      <c r="I200" s="501">
        <f>305899+9461</f>
        <v>315360</v>
      </c>
      <c r="J200" s="501">
        <v>243934</v>
      </c>
      <c r="K200" s="501">
        <v>0</v>
      </c>
      <c r="L200" s="501">
        <f>4000000-4000000</f>
        <v>0</v>
      </c>
      <c r="M200" s="457">
        <f>+E200+I200+J200+K200+L200+N200</f>
        <v>559294</v>
      </c>
      <c r="N200" s="501">
        <f>4000000-1000000-3000000</f>
        <v>0</v>
      </c>
      <c r="O200" s="501">
        <f>3000000-3000000</f>
        <v>0</v>
      </c>
      <c r="P200" s="537">
        <v>3000000</v>
      </c>
      <c r="Q200" s="464"/>
      <c r="R200" s="464"/>
      <c r="S200" s="464"/>
      <c r="T200" s="464"/>
      <c r="U200" s="464"/>
      <c r="V200" s="464"/>
      <c r="W200" s="464"/>
      <c r="X200" s="416">
        <f>SUM(P200:T200)</f>
        <v>3000000</v>
      </c>
      <c r="Y200" s="3901"/>
    </row>
    <row r="201" spans="1:26" ht="13.5" hidden="1" customHeight="1">
      <c r="A201" s="4071"/>
      <c r="B201" s="525" t="s">
        <v>30</v>
      </c>
      <c r="C201" s="4130"/>
      <c r="D201" s="466">
        <f>+D202</f>
        <v>0</v>
      </c>
      <c r="E201" s="466">
        <f t="shared" ref="E201:P201" si="235">+E202</f>
        <v>0</v>
      </c>
      <c r="F201" s="466">
        <f t="shared" si="235"/>
        <v>0</v>
      </c>
      <c r="G201" s="466">
        <f t="shared" si="235"/>
        <v>0</v>
      </c>
      <c r="H201" s="466">
        <f t="shared" si="235"/>
        <v>0</v>
      </c>
      <c r="I201" s="466">
        <f t="shared" si="235"/>
        <v>0</v>
      </c>
      <c r="J201" s="466">
        <f t="shared" si="235"/>
        <v>0</v>
      </c>
      <c r="K201" s="466">
        <f t="shared" si="235"/>
        <v>0</v>
      </c>
      <c r="L201" s="466">
        <f t="shared" si="235"/>
        <v>0</v>
      </c>
      <c r="M201" s="466">
        <f t="shared" si="235"/>
        <v>0</v>
      </c>
      <c r="N201" s="466">
        <f t="shared" si="235"/>
        <v>0</v>
      </c>
      <c r="O201" s="466">
        <f t="shared" si="235"/>
        <v>0</v>
      </c>
      <c r="P201" s="466">
        <f t="shared" si="235"/>
        <v>0</v>
      </c>
      <c r="Q201" s="466"/>
      <c r="R201" s="466"/>
      <c r="S201" s="466"/>
      <c r="T201" s="466"/>
      <c r="U201" s="466"/>
      <c r="V201" s="466"/>
      <c r="W201" s="466"/>
      <c r="X201" s="509">
        <f>+X202</f>
        <v>0</v>
      </c>
      <c r="Y201" s="3901"/>
    </row>
    <row r="202" spans="1:26" ht="13.5" hidden="1" customHeight="1">
      <c r="A202" s="4071"/>
      <c r="B202" s="470" t="s">
        <v>33</v>
      </c>
      <c r="C202" s="4130"/>
      <c r="D202" s="456">
        <f t="shared" ref="D202" si="236">M202+O202+P202+Q202+R202+S202+T202+U202+V202+W202</f>
        <v>0</v>
      </c>
      <c r="E202" s="463">
        <f>+F202+G202+H202</f>
        <v>0</v>
      </c>
      <c r="F202" s="464">
        <v>0</v>
      </c>
      <c r="G202" s="464">
        <v>0</v>
      </c>
      <c r="H202" s="463">
        <v>0</v>
      </c>
      <c r="I202" s="501"/>
      <c r="J202" s="501"/>
      <c r="K202" s="501"/>
      <c r="L202" s="463">
        <v>0</v>
      </c>
      <c r="M202" s="457">
        <f>+E202+I202+J202+K202+L202+N202</f>
        <v>0</v>
      </c>
      <c r="N202" s="463">
        <v>0</v>
      </c>
      <c r="O202" s="463">
        <v>0</v>
      </c>
      <c r="P202" s="464">
        <v>0</v>
      </c>
      <c r="Q202" s="464"/>
      <c r="R202" s="464"/>
      <c r="S202" s="464"/>
      <c r="T202" s="464"/>
      <c r="U202" s="464"/>
      <c r="V202" s="464"/>
      <c r="W202" s="464"/>
      <c r="X202" s="416">
        <f>SUM(P202:T202)</f>
        <v>0</v>
      </c>
      <c r="Y202" s="4073"/>
    </row>
    <row r="203" spans="1:26" s="1230" customFormat="1" ht="12.75" hidden="1" customHeight="1">
      <c r="A203" s="4117"/>
      <c r="B203" s="381" t="s">
        <v>34</v>
      </c>
      <c r="C203" s="382"/>
      <c r="D203" s="471">
        <f>+D204</f>
        <v>0</v>
      </c>
      <c r="E203" s="471">
        <f t="shared" ref="E203:P204" si="237">+E204</f>
        <v>0</v>
      </c>
      <c r="F203" s="471">
        <f t="shared" si="237"/>
        <v>0</v>
      </c>
      <c r="G203" s="471">
        <f t="shared" si="237"/>
        <v>0</v>
      </c>
      <c r="H203" s="471">
        <f t="shared" si="237"/>
        <v>0</v>
      </c>
      <c r="I203" s="471">
        <f t="shared" si="237"/>
        <v>0</v>
      </c>
      <c r="J203" s="471">
        <f t="shared" si="237"/>
        <v>0</v>
      </c>
      <c r="K203" s="471">
        <f t="shared" si="237"/>
        <v>0</v>
      </c>
      <c r="L203" s="471">
        <f t="shared" si="237"/>
        <v>0</v>
      </c>
      <c r="M203" s="471">
        <f t="shared" si="237"/>
        <v>0</v>
      </c>
      <c r="N203" s="471">
        <f t="shared" si="237"/>
        <v>0</v>
      </c>
      <c r="O203" s="471">
        <f t="shared" si="237"/>
        <v>0</v>
      </c>
      <c r="P203" s="471">
        <f t="shared" si="237"/>
        <v>0</v>
      </c>
      <c r="Q203" s="471"/>
      <c r="R203" s="471"/>
      <c r="S203" s="471"/>
      <c r="T203" s="471"/>
      <c r="U203" s="471"/>
      <c r="V203" s="471"/>
      <c r="W203" s="471"/>
      <c r="X203" s="4008" t="s">
        <v>35</v>
      </c>
      <c r="Y203" s="4149" t="s">
        <v>123</v>
      </c>
    </row>
    <row r="204" spans="1:26" s="1232" customFormat="1" ht="12.75" hidden="1" customHeight="1">
      <c r="A204" s="4117"/>
      <c r="B204" s="525" t="s">
        <v>30</v>
      </c>
      <c r="C204" s="4129" t="s">
        <v>102</v>
      </c>
      <c r="D204" s="518">
        <f>+D205</f>
        <v>0</v>
      </c>
      <c r="E204" s="518">
        <f t="shared" si="237"/>
        <v>0</v>
      </c>
      <c r="F204" s="518">
        <f t="shared" si="237"/>
        <v>0</v>
      </c>
      <c r="G204" s="518">
        <f t="shared" si="237"/>
        <v>0</v>
      </c>
      <c r="H204" s="518">
        <f t="shared" si="237"/>
        <v>0</v>
      </c>
      <c r="I204" s="518">
        <f t="shared" si="237"/>
        <v>0</v>
      </c>
      <c r="J204" s="518">
        <f t="shared" si="237"/>
        <v>0</v>
      </c>
      <c r="K204" s="518">
        <f t="shared" si="237"/>
        <v>0</v>
      </c>
      <c r="L204" s="518">
        <f t="shared" si="237"/>
        <v>0</v>
      </c>
      <c r="M204" s="518">
        <f t="shared" si="237"/>
        <v>0</v>
      </c>
      <c r="N204" s="518">
        <f t="shared" si="237"/>
        <v>0</v>
      </c>
      <c r="O204" s="518">
        <f t="shared" si="237"/>
        <v>0</v>
      </c>
      <c r="P204" s="518">
        <f t="shared" si="237"/>
        <v>0</v>
      </c>
      <c r="Q204" s="518"/>
      <c r="R204" s="518"/>
      <c r="S204" s="518"/>
      <c r="T204" s="518"/>
      <c r="U204" s="518"/>
      <c r="V204" s="518"/>
      <c r="W204" s="518"/>
      <c r="X204" s="4009"/>
      <c r="Y204" s="4124"/>
    </row>
    <row r="205" spans="1:26" s="1232" customFormat="1" ht="12.75" hidden="1" customHeight="1" thickBot="1">
      <c r="A205" s="4118"/>
      <c r="B205" s="580" t="s">
        <v>33</v>
      </c>
      <c r="C205" s="4126"/>
      <c r="D205" s="456">
        <f t="shared" ref="D205" si="238">M205+O205+P205+Q205+R205+S205+T205+U205+V205+W205</f>
        <v>0</v>
      </c>
      <c r="E205" s="581">
        <f>+F205+G205+H205</f>
        <v>0</v>
      </c>
      <c r="F205" s="573">
        <v>0</v>
      </c>
      <c r="G205" s="572">
        <v>0</v>
      </c>
      <c r="H205" s="572">
        <v>0</v>
      </c>
      <c r="I205" s="572">
        <v>0</v>
      </c>
      <c r="J205" s="572">
        <v>0</v>
      </c>
      <c r="K205" s="572"/>
      <c r="L205" s="572">
        <v>0</v>
      </c>
      <c r="M205" s="457">
        <f>+E205+I205+J205+K205+L205+N205</f>
        <v>0</v>
      </c>
      <c r="N205" s="572">
        <v>0</v>
      </c>
      <c r="O205" s="572">
        <v>0</v>
      </c>
      <c r="P205" s="575">
        <v>0</v>
      </c>
      <c r="Q205" s="575"/>
      <c r="R205" s="575"/>
      <c r="S205" s="575"/>
      <c r="T205" s="575"/>
      <c r="U205" s="575"/>
      <c r="V205" s="575"/>
      <c r="W205" s="575"/>
      <c r="X205" s="4010"/>
      <c r="Y205" s="4125"/>
    </row>
    <row r="206" spans="1:26" ht="26.25" customHeight="1">
      <c r="A206" s="4091" t="s">
        <v>110</v>
      </c>
      <c r="B206" s="2270" t="s">
        <v>550</v>
      </c>
      <c r="C206" s="480" t="s">
        <v>98</v>
      </c>
      <c r="D206" s="583"/>
      <c r="E206" s="584"/>
      <c r="F206" s="584"/>
      <c r="G206" s="584"/>
      <c r="H206" s="584"/>
      <c r="I206" s="584"/>
      <c r="J206" s="584"/>
      <c r="K206" s="584"/>
      <c r="L206" s="584"/>
      <c r="M206" s="585"/>
      <c r="N206" s="585"/>
      <c r="O206" s="584"/>
      <c r="P206" s="584"/>
      <c r="Q206" s="584"/>
      <c r="R206" s="584"/>
      <c r="S206" s="1152"/>
      <c r="T206" s="1152"/>
      <c r="U206" s="1152"/>
      <c r="V206" s="1152"/>
      <c r="W206" s="1152"/>
      <c r="X206" s="446"/>
      <c r="Y206" s="4034" t="s">
        <v>123</v>
      </c>
    </row>
    <row r="207" spans="1:26" ht="13.5" customHeight="1">
      <c r="A207" s="4071"/>
      <c r="B207" s="2275" t="s">
        <v>22</v>
      </c>
      <c r="C207" s="382"/>
      <c r="D207" s="2271">
        <f>+D208</f>
        <v>83335000</v>
      </c>
      <c r="E207" s="586">
        <v>0</v>
      </c>
      <c r="F207" s="586"/>
      <c r="G207" s="586"/>
      <c r="H207" s="586"/>
      <c r="I207" s="586">
        <v>0</v>
      </c>
      <c r="J207" s="586">
        <v>0</v>
      </c>
      <c r="K207" s="586">
        <v>0</v>
      </c>
      <c r="L207" s="586">
        <f t="shared" ref="L207:P208" si="239">+L208</f>
        <v>26800000</v>
      </c>
      <c r="M207" s="586">
        <f t="shared" si="239"/>
        <v>51900000</v>
      </c>
      <c r="N207" s="586">
        <f t="shared" si="239"/>
        <v>25100000</v>
      </c>
      <c r="O207" s="586">
        <f t="shared" si="239"/>
        <v>31435000</v>
      </c>
      <c r="P207" s="2271">
        <f t="shared" si="239"/>
        <v>0</v>
      </c>
      <c r="Q207" s="586">
        <v>0</v>
      </c>
      <c r="R207" s="586"/>
      <c r="S207" s="586"/>
      <c r="T207" s="586"/>
      <c r="U207" s="586"/>
      <c r="V207" s="586"/>
      <c r="W207" s="586"/>
      <c r="X207" s="408">
        <f>+X208</f>
        <v>0</v>
      </c>
      <c r="Y207" s="4035"/>
      <c r="Z207" s="1229">
        <f>+O207+P207</f>
        <v>31435000</v>
      </c>
    </row>
    <row r="208" spans="1:26" ht="13.5" customHeight="1">
      <c r="A208" s="4071"/>
      <c r="B208" s="2276" t="s">
        <v>118</v>
      </c>
      <c r="C208" s="4129" t="s">
        <v>119</v>
      </c>
      <c r="D208" s="2272">
        <f>+D209</f>
        <v>83335000</v>
      </c>
      <c r="E208" s="587">
        <v>0</v>
      </c>
      <c r="F208" s="587"/>
      <c r="G208" s="587"/>
      <c r="H208" s="587"/>
      <c r="I208" s="587">
        <v>0</v>
      </c>
      <c r="J208" s="588">
        <v>0</v>
      </c>
      <c r="K208" s="589">
        <v>0</v>
      </c>
      <c r="L208" s="588">
        <f t="shared" si="239"/>
        <v>26800000</v>
      </c>
      <c r="M208" s="588">
        <f t="shared" si="239"/>
        <v>51900000</v>
      </c>
      <c r="N208" s="588">
        <f t="shared" si="239"/>
        <v>25100000</v>
      </c>
      <c r="O208" s="588">
        <f t="shared" si="239"/>
        <v>31435000</v>
      </c>
      <c r="P208" s="2272">
        <f t="shared" si="239"/>
        <v>0</v>
      </c>
      <c r="Q208" s="590">
        <v>0</v>
      </c>
      <c r="R208" s="590"/>
      <c r="S208" s="590"/>
      <c r="T208" s="590"/>
      <c r="U208" s="590"/>
      <c r="V208" s="590"/>
      <c r="W208" s="590"/>
      <c r="X208" s="591">
        <f>+X209</f>
        <v>0</v>
      </c>
      <c r="Y208" s="4035"/>
    </row>
    <row r="209" spans="1:26" ht="13.5" customHeight="1">
      <c r="A209" s="4071"/>
      <c r="B209" s="2277" t="s">
        <v>33</v>
      </c>
      <c r="C209" s="4136"/>
      <c r="D209" s="2274">
        <f t="shared" ref="D209" si="240">M209+O209+P209+Q209+R209+S209+T209+U209+V209+W209</f>
        <v>83335000</v>
      </c>
      <c r="E209" s="592"/>
      <c r="F209" s="593"/>
      <c r="G209" s="592"/>
      <c r="H209" s="592"/>
      <c r="I209" s="592"/>
      <c r="J209" s="594"/>
      <c r="K209" s="595"/>
      <c r="L209" s="596">
        <f>22800000+4000000</f>
        <v>26800000</v>
      </c>
      <c r="M209" s="458">
        <f>+E209+I209+J209+K209+L209+N209</f>
        <v>51900000</v>
      </c>
      <c r="N209" s="596">
        <f>17200000+2900000+5000000</f>
        <v>25100000</v>
      </c>
      <c r="O209" s="596">
        <f>70000000-56000000+17435000</f>
        <v>31435000</v>
      </c>
      <c r="P209" s="2273">
        <f>56000000-24565000-31435000</f>
        <v>0</v>
      </c>
      <c r="Q209" s="597">
        <v>0</v>
      </c>
      <c r="R209" s="597"/>
      <c r="S209" s="597"/>
      <c r="T209" s="597"/>
      <c r="U209" s="597"/>
      <c r="V209" s="597"/>
      <c r="W209" s="597"/>
      <c r="X209" s="416">
        <f>SUM(P209:T209)</f>
        <v>0</v>
      </c>
      <c r="Y209" s="4035"/>
    </row>
    <row r="210" spans="1:26" s="1230" customFormat="1" ht="13.5" customHeight="1">
      <c r="A210" s="4071"/>
      <c r="B210" s="2275" t="s">
        <v>34</v>
      </c>
      <c r="C210" s="382"/>
      <c r="D210" s="1797">
        <f>+D211</f>
        <v>83335000</v>
      </c>
      <c r="E210" s="471">
        <v>0</v>
      </c>
      <c r="F210" s="471"/>
      <c r="G210" s="471"/>
      <c r="H210" s="471"/>
      <c r="I210" s="471">
        <v>0</v>
      </c>
      <c r="J210" s="471">
        <v>0</v>
      </c>
      <c r="K210" s="471">
        <v>0</v>
      </c>
      <c r="L210" s="471">
        <f t="shared" ref="L210:P211" si="241">+L211</f>
        <v>26800000</v>
      </c>
      <c r="M210" s="471">
        <f t="shared" si="241"/>
        <v>46900000</v>
      </c>
      <c r="N210" s="471">
        <f t="shared" si="241"/>
        <v>20100000</v>
      </c>
      <c r="O210" s="471">
        <f t="shared" si="241"/>
        <v>36435000</v>
      </c>
      <c r="P210" s="1797">
        <f t="shared" si="241"/>
        <v>0</v>
      </c>
      <c r="Q210" s="471">
        <v>0</v>
      </c>
      <c r="R210" s="471"/>
      <c r="S210" s="471"/>
      <c r="T210" s="471"/>
      <c r="U210" s="471"/>
      <c r="V210" s="471"/>
      <c r="W210" s="471"/>
      <c r="X210" s="4008" t="s">
        <v>35</v>
      </c>
      <c r="Y210" s="4035"/>
    </row>
    <row r="211" spans="1:26" s="1232" customFormat="1" ht="14.25" customHeight="1">
      <c r="A211" s="4117"/>
      <c r="B211" s="2276" t="s">
        <v>118</v>
      </c>
      <c r="C211" s="4129" t="s">
        <v>102</v>
      </c>
      <c r="D211" s="1968">
        <f>+D212</f>
        <v>83335000</v>
      </c>
      <c r="E211" s="518">
        <v>0</v>
      </c>
      <c r="F211" s="518"/>
      <c r="G211" s="518"/>
      <c r="H211" s="518"/>
      <c r="I211" s="518">
        <v>0</v>
      </c>
      <c r="J211" s="543">
        <v>0</v>
      </c>
      <c r="K211" s="589">
        <v>0</v>
      </c>
      <c r="L211" s="598">
        <f t="shared" si="241"/>
        <v>26800000</v>
      </c>
      <c r="M211" s="598">
        <f t="shared" si="241"/>
        <v>46900000</v>
      </c>
      <c r="N211" s="598">
        <f t="shared" si="241"/>
        <v>20100000</v>
      </c>
      <c r="O211" s="598">
        <f t="shared" si="241"/>
        <v>36435000</v>
      </c>
      <c r="P211" s="2279">
        <f t="shared" si="241"/>
        <v>0</v>
      </c>
      <c r="Q211" s="518">
        <v>0</v>
      </c>
      <c r="R211" s="518"/>
      <c r="S211" s="518"/>
      <c r="T211" s="518"/>
      <c r="U211" s="518"/>
      <c r="V211" s="518"/>
      <c r="W211" s="518"/>
      <c r="X211" s="4009"/>
      <c r="Y211" s="4035"/>
    </row>
    <row r="212" spans="1:26" s="1232" customFormat="1" ht="12.75" customHeight="1" thickBot="1">
      <c r="A212" s="4118"/>
      <c r="B212" s="2278" t="s">
        <v>33</v>
      </c>
      <c r="C212" s="4137"/>
      <c r="D212" s="2274">
        <f t="shared" ref="D212" si="242">M212+O212+P212+Q212+R212+S212+T212+U212+V212+W212</f>
        <v>83335000</v>
      </c>
      <c r="E212" s="573">
        <v>0</v>
      </c>
      <c r="F212" s="573"/>
      <c r="G212" s="573"/>
      <c r="H212" s="573"/>
      <c r="I212" s="572">
        <v>0</v>
      </c>
      <c r="J212" s="573">
        <v>0</v>
      </c>
      <c r="K212" s="599">
        <v>0</v>
      </c>
      <c r="L212" s="600">
        <f>22800000+4000000</f>
        <v>26800000</v>
      </c>
      <c r="M212" s="457">
        <f>+E212+I212+J212+K212+L212+N212</f>
        <v>46900000</v>
      </c>
      <c r="N212" s="600">
        <f>17200000+2900000</f>
        <v>20100000</v>
      </c>
      <c r="O212" s="600">
        <f>31435000+5000000</f>
        <v>36435000</v>
      </c>
      <c r="P212" s="2280">
        <f>70000000-38565000-31435000</f>
        <v>0</v>
      </c>
      <c r="Q212" s="573">
        <v>0</v>
      </c>
      <c r="R212" s="573"/>
      <c r="S212" s="573"/>
      <c r="T212" s="573"/>
      <c r="U212" s="573"/>
      <c r="V212" s="573"/>
      <c r="W212" s="573"/>
      <c r="X212" s="4010"/>
      <c r="Y212" s="4036"/>
    </row>
    <row r="213" spans="1:26" ht="26.25" customHeight="1">
      <c r="A213" s="4091" t="s">
        <v>111</v>
      </c>
      <c r="B213" s="1425" t="s">
        <v>443</v>
      </c>
      <c r="C213" s="480" t="s">
        <v>98</v>
      </c>
      <c r="D213" s="579"/>
      <c r="E213" s="553"/>
      <c r="F213" s="554"/>
      <c r="G213" s="553"/>
      <c r="H213" s="553"/>
      <c r="I213" s="553"/>
      <c r="J213" s="553"/>
      <c r="K213" s="553"/>
      <c r="L213" s="553"/>
      <c r="M213" s="553"/>
      <c r="N213" s="553"/>
      <c r="O213" s="553"/>
      <c r="P213" s="555"/>
      <c r="Q213" s="555"/>
      <c r="R213" s="555"/>
      <c r="S213" s="555"/>
      <c r="T213" s="555"/>
      <c r="U213" s="555"/>
      <c r="V213" s="555"/>
      <c r="W213" s="555"/>
      <c r="X213" s="446"/>
      <c r="Y213" s="3900" t="s">
        <v>429</v>
      </c>
    </row>
    <row r="214" spans="1:26" ht="13.5" customHeight="1">
      <c r="A214" s="4071"/>
      <c r="B214" s="381" t="s">
        <v>22</v>
      </c>
      <c r="C214" s="382"/>
      <c r="D214" s="485">
        <f t="shared" ref="D214:P214" si="243">+D215+D217</f>
        <v>89400</v>
      </c>
      <c r="E214" s="485">
        <f t="shared" si="243"/>
        <v>0</v>
      </c>
      <c r="F214" s="485">
        <f t="shared" si="243"/>
        <v>0</v>
      </c>
      <c r="G214" s="485">
        <f t="shared" si="243"/>
        <v>0</v>
      </c>
      <c r="H214" s="485">
        <f t="shared" si="243"/>
        <v>0</v>
      </c>
      <c r="I214" s="485">
        <f t="shared" si="243"/>
        <v>0</v>
      </c>
      <c r="J214" s="485">
        <f t="shared" si="243"/>
        <v>0</v>
      </c>
      <c r="K214" s="485">
        <f t="shared" si="243"/>
        <v>0</v>
      </c>
      <c r="L214" s="485">
        <f t="shared" si="243"/>
        <v>0</v>
      </c>
      <c r="M214" s="1426">
        <f t="shared" ref="M214" si="244">+M215+M217</f>
        <v>0</v>
      </c>
      <c r="N214" s="1426">
        <f t="shared" si="243"/>
        <v>0</v>
      </c>
      <c r="O214" s="485">
        <f t="shared" si="243"/>
        <v>89400</v>
      </c>
      <c r="P214" s="485">
        <f t="shared" si="243"/>
        <v>0</v>
      </c>
      <c r="Q214" s="485"/>
      <c r="R214" s="485"/>
      <c r="S214" s="485"/>
      <c r="T214" s="485"/>
      <c r="U214" s="485"/>
      <c r="V214" s="485"/>
      <c r="W214" s="485"/>
      <c r="X214" s="487">
        <f>+X215+X217</f>
        <v>0</v>
      </c>
      <c r="Y214" s="3901"/>
      <c r="Z214" s="1229">
        <f>+O214+P214</f>
        <v>89400</v>
      </c>
    </row>
    <row r="215" spans="1:26" ht="13.5" customHeight="1">
      <c r="A215" s="4071"/>
      <c r="B215" s="533" t="s">
        <v>36</v>
      </c>
      <c r="C215" s="4129" t="s">
        <v>101</v>
      </c>
      <c r="D215" s="488">
        <f>+D216</f>
        <v>0</v>
      </c>
      <c r="E215" s="488">
        <f t="shared" ref="E215:P215" si="245">+E216</f>
        <v>0</v>
      </c>
      <c r="F215" s="488">
        <f t="shared" si="245"/>
        <v>0</v>
      </c>
      <c r="G215" s="488">
        <f t="shared" si="245"/>
        <v>0</v>
      </c>
      <c r="H215" s="488">
        <f t="shared" si="245"/>
        <v>0</v>
      </c>
      <c r="I215" s="488">
        <f t="shared" si="245"/>
        <v>0</v>
      </c>
      <c r="J215" s="488">
        <f t="shared" si="245"/>
        <v>0</v>
      </c>
      <c r="K215" s="488">
        <f t="shared" si="245"/>
        <v>0</v>
      </c>
      <c r="L215" s="488">
        <f t="shared" si="245"/>
        <v>0</v>
      </c>
      <c r="M215" s="1427">
        <f t="shared" si="245"/>
        <v>0</v>
      </c>
      <c r="N215" s="1427">
        <f t="shared" si="245"/>
        <v>0</v>
      </c>
      <c r="O215" s="488">
        <f t="shared" si="245"/>
        <v>0</v>
      </c>
      <c r="P215" s="488">
        <f t="shared" si="245"/>
        <v>0</v>
      </c>
      <c r="Q215" s="488"/>
      <c r="R215" s="488"/>
      <c r="S215" s="488"/>
      <c r="T215" s="488"/>
      <c r="U215" s="488"/>
      <c r="V215" s="488"/>
      <c r="W215" s="488"/>
      <c r="X215" s="509">
        <f>+X216</f>
        <v>0</v>
      </c>
      <c r="Y215" s="3901"/>
      <c r="Z215" s="1056"/>
    </row>
    <row r="216" spans="1:26" ht="13.5" customHeight="1">
      <c r="A216" s="4071"/>
      <c r="B216" s="534" t="s">
        <v>24</v>
      </c>
      <c r="C216" s="4130"/>
      <c r="D216" s="456">
        <f t="shared" ref="D216" si="246">M216+O216+P216+Q216+R216+S216+T216+U216+V216+W216</f>
        <v>0</v>
      </c>
      <c r="E216" s="501">
        <f>+F216+G216+H216</f>
        <v>0</v>
      </c>
      <c r="F216" s="537">
        <v>0</v>
      </c>
      <c r="G216" s="501">
        <v>0</v>
      </c>
      <c r="H216" s="501">
        <v>0</v>
      </c>
      <c r="I216" s="501">
        <f>140382-140382</f>
        <v>0</v>
      </c>
      <c r="J216" s="539">
        <v>0</v>
      </c>
      <c r="K216" s="501">
        <v>0</v>
      </c>
      <c r="L216" s="501">
        <v>0</v>
      </c>
      <c r="M216" s="457">
        <f>+E216+I216+J216+K216+L216+N216</f>
        <v>0</v>
      </c>
      <c r="N216" s="1428">
        <v>0</v>
      </c>
      <c r="O216" s="537">
        <v>0</v>
      </c>
      <c r="P216" s="537">
        <f>2050000-2050000</f>
        <v>0</v>
      </c>
      <c r="Q216" s="464"/>
      <c r="R216" s="464"/>
      <c r="S216" s="464"/>
      <c r="T216" s="464"/>
      <c r="U216" s="464"/>
      <c r="V216" s="464"/>
      <c r="W216" s="464"/>
      <c r="X216" s="416">
        <f>SUM(P216:T216)</f>
        <v>0</v>
      </c>
      <c r="Y216" s="3901"/>
    </row>
    <row r="217" spans="1:26" ht="13.5" customHeight="1">
      <c r="A217" s="4071"/>
      <c r="B217" s="525" t="s">
        <v>30</v>
      </c>
      <c r="C217" s="4130"/>
      <c r="D217" s="466">
        <f>+D218</f>
        <v>89400</v>
      </c>
      <c r="E217" s="466">
        <f t="shared" ref="E217:P217" si="247">+E218</f>
        <v>0</v>
      </c>
      <c r="F217" s="466">
        <f t="shared" si="247"/>
        <v>0</v>
      </c>
      <c r="G217" s="466">
        <f t="shared" si="247"/>
        <v>0</v>
      </c>
      <c r="H217" s="466">
        <f t="shared" si="247"/>
        <v>0</v>
      </c>
      <c r="I217" s="466">
        <f t="shared" si="247"/>
        <v>0</v>
      </c>
      <c r="J217" s="466">
        <f t="shared" si="247"/>
        <v>0</v>
      </c>
      <c r="K217" s="466">
        <f t="shared" si="247"/>
        <v>0</v>
      </c>
      <c r="L217" s="466">
        <f t="shared" si="247"/>
        <v>0</v>
      </c>
      <c r="M217" s="1300">
        <f t="shared" si="247"/>
        <v>0</v>
      </c>
      <c r="N217" s="1300">
        <f t="shared" si="247"/>
        <v>0</v>
      </c>
      <c r="O217" s="466">
        <f t="shared" si="247"/>
        <v>89400</v>
      </c>
      <c r="P217" s="466">
        <f t="shared" si="247"/>
        <v>0</v>
      </c>
      <c r="Q217" s="466"/>
      <c r="R217" s="466"/>
      <c r="S217" s="466"/>
      <c r="T217" s="466"/>
      <c r="U217" s="466"/>
      <c r="V217" s="466"/>
      <c r="W217" s="466"/>
      <c r="X217" s="509">
        <f>+X218</f>
        <v>0</v>
      </c>
      <c r="Y217" s="3901"/>
    </row>
    <row r="218" spans="1:26" ht="13.5" customHeight="1">
      <c r="A218" s="4071"/>
      <c r="B218" s="470" t="s">
        <v>33</v>
      </c>
      <c r="C218" s="4130"/>
      <c r="D218" s="456">
        <f t="shared" ref="D218" si="248">M218+O218+P218+Q218+R218+S218+T218+U218+V218+W218</f>
        <v>89400</v>
      </c>
      <c r="E218" s="463">
        <f>+F218+G218+H218</f>
        <v>0</v>
      </c>
      <c r="F218" s="464">
        <v>0</v>
      </c>
      <c r="G218" s="464">
        <v>0</v>
      </c>
      <c r="H218" s="463">
        <v>0</v>
      </c>
      <c r="I218" s="463">
        <f>163508-163508</f>
        <v>0</v>
      </c>
      <c r="J218" s="463"/>
      <c r="K218" s="463"/>
      <c r="L218" s="463">
        <v>0</v>
      </c>
      <c r="M218" s="457">
        <f>+E218+I218+J218+K218+L218+N218</f>
        <v>0</v>
      </c>
      <c r="N218" s="1073">
        <v>0</v>
      </c>
      <c r="O218" s="463">
        <f>3750000-1425200-2235400</f>
        <v>89400</v>
      </c>
      <c r="P218" s="464">
        <v>0</v>
      </c>
      <c r="Q218" s="464"/>
      <c r="R218" s="464"/>
      <c r="S218" s="464"/>
      <c r="T218" s="464"/>
      <c r="U218" s="464"/>
      <c r="V218" s="464"/>
      <c r="W218" s="464"/>
      <c r="X218" s="416">
        <f>SUM(P218:T218)</f>
        <v>0</v>
      </c>
      <c r="Y218" s="3901"/>
    </row>
    <row r="219" spans="1:26" s="1230" customFormat="1" ht="12.75" customHeight="1">
      <c r="A219" s="4071"/>
      <c r="B219" s="381" t="s">
        <v>34</v>
      </c>
      <c r="C219" s="382"/>
      <c r="D219" s="471">
        <f>+D220</f>
        <v>89400</v>
      </c>
      <c r="E219" s="471">
        <f t="shared" ref="E219:P220" si="249">+E220</f>
        <v>0</v>
      </c>
      <c r="F219" s="471">
        <f t="shared" si="249"/>
        <v>0</v>
      </c>
      <c r="G219" s="471">
        <f t="shared" si="249"/>
        <v>0</v>
      </c>
      <c r="H219" s="471">
        <f t="shared" si="249"/>
        <v>0</v>
      </c>
      <c r="I219" s="471">
        <f t="shared" si="249"/>
        <v>0</v>
      </c>
      <c r="J219" s="471">
        <f t="shared" si="249"/>
        <v>0</v>
      </c>
      <c r="K219" s="471">
        <f t="shared" si="249"/>
        <v>0</v>
      </c>
      <c r="L219" s="471">
        <f t="shared" si="249"/>
        <v>0</v>
      </c>
      <c r="M219" s="1302">
        <f t="shared" si="249"/>
        <v>0</v>
      </c>
      <c r="N219" s="1302">
        <f t="shared" si="249"/>
        <v>0</v>
      </c>
      <c r="O219" s="471">
        <f t="shared" si="249"/>
        <v>89400</v>
      </c>
      <c r="P219" s="471">
        <f t="shared" si="249"/>
        <v>0</v>
      </c>
      <c r="Q219" s="471"/>
      <c r="R219" s="471"/>
      <c r="S219" s="471"/>
      <c r="T219" s="471"/>
      <c r="U219" s="471"/>
      <c r="V219" s="471"/>
      <c r="W219" s="471"/>
      <c r="X219" s="4008" t="s">
        <v>35</v>
      </c>
      <c r="Y219" s="4127"/>
    </row>
    <row r="220" spans="1:26" s="1232" customFormat="1" ht="12" customHeight="1">
      <c r="A220" s="4071"/>
      <c r="B220" s="525" t="s">
        <v>30</v>
      </c>
      <c r="C220" s="4129" t="s">
        <v>102</v>
      </c>
      <c r="D220" s="518">
        <f>+D221</f>
        <v>89400</v>
      </c>
      <c r="E220" s="518">
        <f t="shared" si="249"/>
        <v>0</v>
      </c>
      <c r="F220" s="518">
        <f t="shared" si="249"/>
        <v>0</v>
      </c>
      <c r="G220" s="518">
        <f t="shared" si="249"/>
        <v>0</v>
      </c>
      <c r="H220" s="518">
        <f t="shared" si="249"/>
        <v>0</v>
      </c>
      <c r="I220" s="518">
        <f t="shared" si="249"/>
        <v>0</v>
      </c>
      <c r="J220" s="518">
        <f t="shared" si="249"/>
        <v>0</v>
      </c>
      <c r="K220" s="518">
        <f t="shared" si="249"/>
        <v>0</v>
      </c>
      <c r="L220" s="518">
        <f t="shared" si="249"/>
        <v>0</v>
      </c>
      <c r="M220" s="1429">
        <f t="shared" si="249"/>
        <v>0</v>
      </c>
      <c r="N220" s="1429">
        <f t="shared" si="249"/>
        <v>0</v>
      </c>
      <c r="O220" s="518">
        <f t="shared" si="249"/>
        <v>89400</v>
      </c>
      <c r="P220" s="518">
        <f t="shared" si="249"/>
        <v>0</v>
      </c>
      <c r="Q220" s="518"/>
      <c r="R220" s="518"/>
      <c r="S220" s="518"/>
      <c r="T220" s="518"/>
      <c r="U220" s="518"/>
      <c r="V220" s="518"/>
      <c r="W220" s="518"/>
      <c r="X220" s="4009"/>
      <c r="Y220" s="4127"/>
    </row>
    <row r="221" spans="1:26" s="1232" customFormat="1" ht="14.25" customHeight="1" thickBot="1">
      <c r="A221" s="4072"/>
      <c r="B221" s="580" t="s">
        <v>33</v>
      </c>
      <c r="C221" s="4137"/>
      <c r="D221" s="1652">
        <f t="shared" ref="D221" si="250">M221+O221+P221+Q221+R221+S221+T221+U221+V221+W221</f>
        <v>89400</v>
      </c>
      <c r="E221" s="572">
        <f>+F221+G221+H221</f>
        <v>0</v>
      </c>
      <c r="F221" s="573">
        <v>0</v>
      </c>
      <c r="G221" s="572">
        <v>0</v>
      </c>
      <c r="H221" s="572">
        <v>0</v>
      </c>
      <c r="I221" s="572">
        <v>0</v>
      </c>
      <c r="J221" s="572">
        <v>0</v>
      </c>
      <c r="K221" s="572"/>
      <c r="L221" s="572">
        <v>0</v>
      </c>
      <c r="M221" s="1652">
        <f>+E221+I221+J221+K221+L221+N221</f>
        <v>0</v>
      </c>
      <c r="N221" s="1430">
        <v>0</v>
      </c>
      <c r="O221" s="572">
        <f>3750000-1425200-2235400</f>
        <v>89400</v>
      </c>
      <c r="P221" s="575">
        <v>0</v>
      </c>
      <c r="Q221" s="575"/>
      <c r="R221" s="575"/>
      <c r="S221" s="575"/>
      <c r="T221" s="575"/>
      <c r="U221" s="575"/>
      <c r="V221" s="575"/>
      <c r="W221" s="575"/>
      <c r="X221" s="4010"/>
      <c r="Y221" s="4128"/>
    </row>
    <row r="222" spans="1:26" s="1232" customFormat="1" ht="26.25" customHeight="1" thickBot="1">
      <c r="A222" s="1758"/>
      <c r="B222" s="1296" t="s">
        <v>409</v>
      </c>
      <c r="C222" s="1289"/>
      <c r="D222" s="1290"/>
      <c r="E222" s="1291"/>
      <c r="F222" s="1291"/>
      <c r="G222" s="1292"/>
      <c r="H222" s="1292"/>
      <c r="I222" s="1292"/>
      <c r="J222" s="1292"/>
      <c r="K222" s="1292"/>
      <c r="L222" s="1292"/>
      <c r="M222" s="1293"/>
      <c r="N222" s="1294"/>
      <c r="O222" s="1294"/>
      <c r="P222" s="1294"/>
      <c r="Q222" s="1294"/>
      <c r="R222" s="1294"/>
      <c r="S222" s="1294"/>
      <c r="T222" s="1294"/>
      <c r="U222" s="1294"/>
      <c r="V222" s="1294"/>
      <c r="W222" s="1294"/>
      <c r="X222" s="1517"/>
      <c r="Y222" s="1295"/>
    </row>
    <row r="223" spans="1:26" s="1232" customFormat="1" ht="41.25" customHeight="1">
      <c r="A223" s="4091" t="s">
        <v>112</v>
      </c>
      <c r="B223" s="2854" t="s">
        <v>580</v>
      </c>
      <c r="C223" s="480" t="s">
        <v>98</v>
      </c>
      <c r="D223" s="481"/>
      <c r="E223" s="482"/>
      <c r="F223" s="482"/>
      <c r="G223" s="483"/>
      <c r="H223" s="483"/>
      <c r="I223" s="443"/>
      <c r="J223" s="443"/>
      <c r="K223" s="443"/>
      <c r="L223" s="443"/>
      <c r="M223" s="445"/>
      <c r="N223" s="445"/>
      <c r="O223" s="445"/>
      <c r="P223" s="445"/>
      <c r="Q223" s="445"/>
      <c r="R223" s="445"/>
      <c r="S223" s="445"/>
      <c r="T223" s="445"/>
      <c r="U223" s="445"/>
      <c r="V223" s="445"/>
      <c r="W223" s="445"/>
      <c r="X223" s="446"/>
      <c r="Y223" s="447"/>
    </row>
    <row r="224" spans="1:26" s="1232" customFormat="1" ht="14.25" customHeight="1">
      <c r="A224" s="4071"/>
      <c r="B224" s="3180" t="s">
        <v>22</v>
      </c>
      <c r="C224" s="382"/>
      <c r="D224" s="3163">
        <f>+D225+D229</f>
        <v>12795810</v>
      </c>
      <c r="E224" s="2369">
        <f t="shared" ref="E224:P224" si="251">+E225+E229</f>
        <v>0</v>
      </c>
      <c r="F224" s="2369">
        <f t="shared" si="251"/>
        <v>0</v>
      </c>
      <c r="G224" s="2369">
        <f t="shared" si="251"/>
        <v>0</v>
      </c>
      <c r="H224" s="2369">
        <f t="shared" si="251"/>
        <v>0</v>
      </c>
      <c r="I224" s="2369">
        <f t="shared" si="251"/>
        <v>0</v>
      </c>
      <c r="J224" s="2369">
        <f>+J225+J229</f>
        <v>0</v>
      </c>
      <c r="K224" s="2369">
        <f t="shared" si="251"/>
        <v>0</v>
      </c>
      <c r="L224" s="2369">
        <f t="shared" si="251"/>
        <v>49692</v>
      </c>
      <c r="M224" s="2369">
        <f t="shared" ref="M224" si="252">+M225+M229</f>
        <v>450059</v>
      </c>
      <c r="N224" s="2369">
        <f t="shared" si="251"/>
        <v>400367</v>
      </c>
      <c r="O224" s="2386">
        <f t="shared" si="251"/>
        <v>790929</v>
      </c>
      <c r="P224" s="2386">
        <f t="shared" si="251"/>
        <v>11554822</v>
      </c>
      <c r="Q224" s="2369"/>
      <c r="R224" s="2369"/>
      <c r="S224" s="2369"/>
      <c r="T224" s="2369"/>
      <c r="U224" s="2369"/>
      <c r="V224" s="2369"/>
      <c r="W224" s="2369"/>
      <c r="X224" s="2359">
        <f>X225+X229</f>
        <v>11554822</v>
      </c>
      <c r="Y224" s="3901" t="s">
        <v>104</v>
      </c>
    </row>
    <row r="225" spans="1:26" s="1232" customFormat="1" ht="14.25" customHeight="1">
      <c r="A225" s="4071"/>
      <c r="B225" s="3181" t="s">
        <v>36</v>
      </c>
      <c r="C225" s="4120" t="s">
        <v>101</v>
      </c>
      <c r="D225" s="3164">
        <f>+D226+D227+D228</f>
        <v>2000810</v>
      </c>
      <c r="E225" s="3164">
        <f>+E226+E227</f>
        <v>0</v>
      </c>
      <c r="F225" s="3164">
        <f>+F226+F227</f>
        <v>0</v>
      </c>
      <c r="G225" s="3164">
        <f>+G226+G227</f>
        <v>0</v>
      </c>
      <c r="H225" s="3164">
        <f>+H226+H227</f>
        <v>0</v>
      </c>
      <c r="I225" s="3164">
        <f>+I226+I227</f>
        <v>0</v>
      </c>
      <c r="J225" s="3164">
        <f t="shared" ref="J225:P225" si="253">+J226+J227+J228</f>
        <v>0</v>
      </c>
      <c r="K225" s="3164">
        <f t="shared" si="253"/>
        <v>0</v>
      </c>
      <c r="L225" s="3164">
        <f t="shared" si="253"/>
        <v>49692</v>
      </c>
      <c r="M225" s="3164">
        <f>+M226+M227+M228</f>
        <v>148947</v>
      </c>
      <c r="N225" s="3164">
        <f t="shared" si="253"/>
        <v>99255</v>
      </c>
      <c r="O225" s="3182">
        <f t="shared" si="253"/>
        <v>130231</v>
      </c>
      <c r="P225" s="3182">
        <f t="shared" si="253"/>
        <v>1721632</v>
      </c>
      <c r="Q225" s="3164"/>
      <c r="R225" s="3164"/>
      <c r="S225" s="3164"/>
      <c r="T225" s="3164"/>
      <c r="U225" s="3164"/>
      <c r="V225" s="3164"/>
      <c r="W225" s="3164"/>
      <c r="X225" s="3183">
        <f>X226</f>
        <v>1721632</v>
      </c>
      <c r="Y225" s="3901"/>
    </row>
    <row r="226" spans="1:26" s="1232" customFormat="1" ht="13.5" customHeight="1">
      <c r="A226" s="4071"/>
      <c r="B226" s="3184" t="s">
        <v>24</v>
      </c>
      <c r="C226" s="4136"/>
      <c r="D226" s="3166">
        <f t="shared" ref="D226" si="254">M226+O226+P226+Q226+R226+S226+T226+U226+V226+W226</f>
        <v>2000810</v>
      </c>
      <c r="E226" s="3185">
        <v>0</v>
      </c>
      <c r="F226" s="3185"/>
      <c r="G226" s="3185"/>
      <c r="H226" s="3185"/>
      <c r="I226" s="3185"/>
      <c r="J226" s="3185"/>
      <c r="K226" s="3185"/>
      <c r="L226" s="3185">
        <f>95810-46118</f>
        <v>49692</v>
      </c>
      <c r="M226" s="3168">
        <f>+E226+I226+J226+K226+L226+N226</f>
        <v>148947</v>
      </c>
      <c r="N226" s="3185">
        <f>53137+46118</f>
        <v>99255</v>
      </c>
      <c r="O226" s="3186">
        <f>150000-19769</f>
        <v>130231</v>
      </c>
      <c r="P226" s="3186">
        <f>1701863+19769</f>
        <v>1721632</v>
      </c>
      <c r="Q226" s="3185"/>
      <c r="R226" s="3185"/>
      <c r="S226" s="3185"/>
      <c r="T226" s="3185"/>
      <c r="U226" s="3185"/>
      <c r="V226" s="3185"/>
      <c r="W226" s="3185"/>
      <c r="X226" s="3170">
        <f>SUM(P226:T226)</f>
        <v>1721632</v>
      </c>
      <c r="Y226" s="3901"/>
    </row>
    <row r="227" spans="1:26" s="1232" customFormat="1" ht="14.25" hidden="1" customHeight="1">
      <c r="A227" s="4071"/>
      <c r="B227" s="3187" t="s">
        <v>29</v>
      </c>
      <c r="C227" s="4130"/>
      <c r="D227" s="3166">
        <f t="shared" ref="D227:D228" si="255">SUM(M227:T227)</f>
        <v>0</v>
      </c>
      <c r="E227" s="3173">
        <f>+F227+G227+H227</f>
        <v>0</v>
      </c>
      <c r="F227" s="3173"/>
      <c r="G227" s="3175"/>
      <c r="H227" s="3175"/>
      <c r="I227" s="3175"/>
      <c r="J227" s="3175"/>
      <c r="K227" s="3175"/>
      <c r="L227" s="3173">
        <v>0</v>
      </c>
      <c r="M227" s="3173"/>
      <c r="N227" s="3173">
        <v>0</v>
      </c>
      <c r="O227" s="2898">
        <v>0</v>
      </c>
      <c r="P227" s="2898">
        <v>0</v>
      </c>
      <c r="Q227" s="3174"/>
      <c r="R227" s="3173"/>
      <c r="S227" s="3173"/>
      <c r="T227" s="3173"/>
      <c r="U227" s="952"/>
      <c r="V227" s="952"/>
      <c r="W227" s="952"/>
      <c r="X227" s="1518"/>
      <c r="Y227" s="3901"/>
    </row>
    <row r="228" spans="1:26" s="1232" customFormat="1" ht="14.25" hidden="1" customHeight="1">
      <c r="A228" s="4071"/>
      <c r="B228" s="3187" t="s">
        <v>27</v>
      </c>
      <c r="C228" s="4130"/>
      <c r="D228" s="3166">
        <f t="shared" si="255"/>
        <v>0</v>
      </c>
      <c r="E228" s="3173">
        <v>0</v>
      </c>
      <c r="F228" s="3173"/>
      <c r="G228" s="3175"/>
      <c r="H228" s="3175"/>
      <c r="I228" s="3175">
        <v>0</v>
      </c>
      <c r="J228" s="3175"/>
      <c r="K228" s="3175"/>
      <c r="L228" s="3173">
        <v>0</v>
      </c>
      <c r="M228" s="3173"/>
      <c r="N228" s="3173">
        <v>0</v>
      </c>
      <c r="O228" s="2898">
        <v>0</v>
      </c>
      <c r="P228" s="2898">
        <v>0</v>
      </c>
      <c r="Q228" s="3174"/>
      <c r="R228" s="3173"/>
      <c r="S228" s="3173"/>
      <c r="T228" s="3173"/>
      <c r="U228" s="952"/>
      <c r="V228" s="952"/>
      <c r="W228" s="952"/>
      <c r="X228" s="1518"/>
      <c r="Y228" s="3901"/>
    </row>
    <row r="229" spans="1:26" s="1284" customFormat="1" ht="14.25" customHeight="1">
      <c r="A229" s="4071"/>
      <c r="B229" s="3188" t="s">
        <v>30</v>
      </c>
      <c r="C229" s="4130"/>
      <c r="D229" s="3171">
        <f>+D230</f>
        <v>10795000</v>
      </c>
      <c r="E229" s="3171">
        <f t="shared" ref="E229:P229" si="256">+E230</f>
        <v>0</v>
      </c>
      <c r="F229" s="3171">
        <f t="shared" si="256"/>
        <v>0</v>
      </c>
      <c r="G229" s="3171">
        <f t="shared" si="256"/>
        <v>0</v>
      </c>
      <c r="H229" s="3171">
        <f t="shared" si="256"/>
        <v>0</v>
      </c>
      <c r="I229" s="3171">
        <f t="shared" si="256"/>
        <v>0</v>
      </c>
      <c r="J229" s="3171">
        <f t="shared" si="256"/>
        <v>0</v>
      </c>
      <c r="K229" s="3171">
        <f t="shared" si="256"/>
        <v>0</v>
      </c>
      <c r="L229" s="3171">
        <f t="shared" si="256"/>
        <v>0</v>
      </c>
      <c r="M229" s="3189">
        <f t="shared" si="256"/>
        <v>301112</v>
      </c>
      <c r="N229" s="3171">
        <f t="shared" si="256"/>
        <v>301112</v>
      </c>
      <c r="O229" s="3190">
        <f t="shared" si="256"/>
        <v>660698</v>
      </c>
      <c r="P229" s="3190">
        <f t="shared" si="256"/>
        <v>9833190</v>
      </c>
      <c r="Q229" s="3171"/>
      <c r="R229" s="3171"/>
      <c r="S229" s="3171"/>
      <c r="T229" s="2364"/>
      <c r="U229" s="3171"/>
      <c r="V229" s="3171"/>
      <c r="W229" s="3171"/>
      <c r="X229" s="3183">
        <f>X230</f>
        <v>9833190</v>
      </c>
      <c r="Y229" s="3901"/>
    </row>
    <row r="230" spans="1:26" s="1232" customFormat="1" ht="12.75" customHeight="1">
      <c r="A230" s="4071"/>
      <c r="B230" s="3172" t="s">
        <v>33</v>
      </c>
      <c r="C230" s="4161"/>
      <c r="D230" s="3166">
        <f t="shared" ref="D230" si="257">M230+O230+P230+Q230+R230+S230+T230+U230+V230+W230</f>
        <v>10795000</v>
      </c>
      <c r="E230" s="3173">
        <f>+F230+G230+H230</f>
        <v>0</v>
      </c>
      <c r="F230" s="3173">
        <v>0</v>
      </c>
      <c r="G230" s="3175"/>
      <c r="H230" s="3175"/>
      <c r="I230" s="3175"/>
      <c r="J230" s="3175"/>
      <c r="K230" s="3175"/>
      <c r="L230" s="3173"/>
      <c r="M230" s="3168">
        <f>+E230+I230+J230+K230+L230+N230</f>
        <v>301112</v>
      </c>
      <c r="N230" s="3173">
        <v>301112</v>
      </c>
      <c r="O230" s="2898">
        <f>850000-189302</f>
        <v>660698</v>
      </c>
      <c r="P230" s="2898">
        <f>9643888+189302</f>
        <v>9833190</v>
      </c>
      <c r="Q230" s="3174"/>
      <c r="R230" s="3173"/>
      <c r="S230" s="3173"/>
      <c r="T230" s="3173"/>
      <c r="U230" s="3174"/>
      <c r="V230" s="3174"/>
      <c r="W230" s="3174"/>
      <c r="X230" s="3170">
        <f>SUM(P230:T230)</f>
        <v>9833190</v>
      </c>
      <c r="Y230" s="4073"/>
    </row>
    <row r="231" spans="1:26" s="1232" customFormat="1" ht="14.25" customHeight="1">
      <c r="A231" s="4117"/>
      <c r="B231" s="3191" t="s">
        <v>34</v>
      </c>
      <c r="C231" s="382"/>
      <c r="D231" s="3176">
        <f>+D235+D232</f>
        <v>10795000</v>
      </c>
      <c r="E231" s="3176">
        <f t="shared" ref="E231:M231" si="258">+E235+E232</f>
        <v>0</v>
      </c>
      <c r="F231" s="3176">
        <f t="shared" si="258"/>
        <v>0</v>
      </c>
      <c r="G231" s="3176">
        <f t="shared" si="258"/>
        <v>0</v>
      </c>
      <c r="H231" s="3176">
        <f t="shared" si="258"/>
        <v>0</v>
      </c>
      <c r="I231" s="3176">
        <f t="shared" si="258"/>
        <v>0</v>
      </c>
      <c r="J231" s="3176">
        <f t="shared" si="258"/>
        <v>0</v>
      </c>
      <c r="K231" s="3176">
        <f t="shared" si="258"/>
        <v>0</v>
      </c>
      <c r="L231" s="3176">
        <f t="shared" si="258"/>
        <v>0</v>
      </c>
      <c r="M231" s="3192">
        <f t="shared" si="258"/>
        <v>0</v>
      </c>
      <c r="N231" s="3192">
        <f t="shared" ref="N231:P231" si="259">+N235+N232</f>
        <v>0</v>
      </c>
      <c r="O231" s="3192">
        <f t="shared" si="259"/>
        <v>0</v>
      </c>
      <c r="P231" s="3176">
        <f t="shared" si="259"/>
        <v>10145000</v>
      </c>
      <c r="Q231" s="3176">
        <f t="shared" ref="Q231" si="260">+Q235+Q232</f>
        <v>650000</v>
      </c>
      <c r="R231" s="3176"/>
      <c r="S231" s="3176"/>
      <c r="T231" s="3176"/>
      <c r="U231" s="3176"/>
      <c r="V231" s="3176"/>
      <c r="W231" s="3176"/>
      <c r="X231" s="4024" t="s">
        <v>35</v>
      </c>
      <c r="Y231" s="4123" t="s">
        <v>123</v>
      </c>
    </row>
    <row r="232" spans="1:26" s="1232" customFormat="1" ht="14.25" hidden="1" customHeight="1">
      <c r="A232" s="4117"/>
      <c r="B232" s="3177" t="s">
        <v>36</v>
      </c>
      <c r="C232" s="4120" t="s">
        <v>401</v>
      </c>
      <c r="D232" s="472">
        <f>+D233+D234</f>
        <v>0</v>
      </c>
      <c r="E232" s="472">
        <f t="shared" ref="E232:M232" si="261">+E233+E234</f>
        <v>0</v>
      </c>
      <c r="F232" s="472">
        <f t="shared" si="261"/>
        <v>0</v>
      </c>
      <c r="G232" s="472">
        <f t="shared" si="261"/>
        <v>0</v>
      </c>
      <c r="H232" s="472">
        <f t="shared" si="261"/>
        <v>0</v>
      </c>
      <c r="I232" s="472">
        <f t="shared" si="261"/>
        <v>0</v>
      </c>
      <c r="J232" s="472">
        <f t="shared" si="261"/>
        <v>0</v>
      </c>
      <c r="K232" s="472">
        <f t="shared" si="261"/>
        <v>0</v>
      </c>
      <c r="L232" s="472">
        <f t="shared" si="261"/>
        <v>0</v>
      </c>
      <c r="M232" s="1303">
        <f t="shared" si="261"/>
        <v>0</v>
      </c>
      <c r="N232" s="1303">
        <f t="shared" ref="N232:P232" si="262">+N233+N234</f>
        <v>0</v>
      </c>
      <c r="O232" s="1303">
        <f t="shared" si="262"/>
        <v>0</v>
      </c>
      <c r="P232" s="472">
        <f t="shared" si="262"/>
        <v>0</v>
      </c>
      <c r="Q232" s="472">
        <f t="shared" ref="Q232" si="263">+Q233+Q234</f>
        <v>0</v>
      </c>
      <c r="R232" s="472"/>
      <c r="S232" s="472"/>
      <c r="T232" s="472"/>
      <c r="U232" s="472"/>
      <c r="V232" s="472"/>
      <c r="W232" s="472"/>
      <c r="X232" s="4003"/>
      <c r="Y232" s="4124"/>
    </row>
    <row r="233" spans="1:26" s="1232" customFormat="1" ht="14.25" hidden="1" customHeight="1">
      <c r="A233" s="4117"/>
      <c r="B233" s="3187" t="s">
        <v>29</v>
      </c>
      <c r="C233" s="4136"/>
      <c r="D233" s="3193">
        <f t="shared" ref="D233" si="264">SUM(M233:T233)</f>
        <v>0</v>
      </c>
      <c r="E233" s="3194">
        <f t="shared" ref="E233:I233" si="265">+F233+J233+K233+L233+M233+O233+P233</f>
        <v>0</v>
      </c>
      <c r="F233" s="3194">
        <f t="shared" si="265"/>
        <v>0</v>
      </c>
      <c r="G233" s="3194">
        <f t="shared" si="265"/>
        <v>0</v>
      </c>
      <c r="H233" s="3194">
        <f t="shared" si="265"/>
        <v>0</v>
      </c>
      <c r="I233" s="3194">
        <f t="shared" si="265"/>
        <v>0</v>
      </c>
      <c r="J233" s="3194"/>
      <c r="K233" s="3194"/>
      <c r="L233" s="3194">
        <f>+M233+Q233+R233+S233+T233+Y233+Z233</f>
        <v>0</v>
      </c>
      <c r="M233" s="3195">
        <f>+N233+R233+S233+T233+Z233+AA233</f>
        <v>0</v>
      </c>
      <c r="N233" s="3193">
        <v>0</v>
      </c>
      <c r="O233" s="3193">
        <v>0</v>
      </c>
      <c r="P233" s="2367">
        <v>0</v>
      </c>
      <c r="Q233" s="2367">
        <v>0</v>
      </c>
      <c r="R233" s="2367"/>
      <c r="S233" s="2367"/>
      <c r="T233" s="2367"/>
      <c r="U233" s="2367"/>
      <c r="V233" s="2367"/>
      <c r="W233" s="2367"/>
      <c r="X233" s="4003"/>
      <c r="Y233" s="4124"/>
    </row>
    <row r="234" spans="1:26" s="1232" customFormat="1" ht="14.25" hidden="1" customHeight="1">
      <c r="A234" s="4117"/>
      <c r="B234" s="3187" t="s">
        <v>27</v>
      </c>
      <c r="C234" s="4136"/>
      <c r="D234" s="3195">
        <f t="shared" ref="D234" si="266">SUM(M234:T234)</f>
        <v>0</v>
      </c>
      <c r="E234" s="3194">
        <f>+F234+J234+K234+L234+M234+O234+P234</f>
        <v>0</v>
      </c>
      <c r="F234" s="3194">
        <f t="shared" ref="F234:I234" si="267">+G234+K234+L234+M234+N234+P234+Q234</f>
        <v>0</v>
      </c>
      <c r="G234" s="3194">
        <f t="shared" si="267"/>
        <v>0</v>
      </c>
      <c r="H234" s="3194">
        <f t="shared" si="267"/>
        <v>0</v>
      </c>
      <c r="I234" s="3194">
        <f t="shared" si="267"/>
        <v>0</v>
      </c>
      <c r="J234" s="3194"/>
      <c r="K234" s="3194">
        <f>+L234+P234+Q234+R234+S234+Y234</f>
        <v>0</v>
      </c>
      <c r="L234" s="3194">
        <f>+M234+Q234+R234+S234+T234+Y234+Z234</f>
        <v>0</v>
      </c>
      <c r="M234" s="3195">
        <f>+N234+R234+S234+T234+Z234+AA234</f>
        <v>0</v>
      </c>
      <c r="N234" s="3195">
        <v>0</v>
      </c>
      <c r="O234" s="3195">
        <v>0</v>
      </c>
      <c r="P234" s="3194">
        <v>0</v>
      </c>
      <c r="Q234" s="3194">
        <v>0</v>
      </c>
      <c r="R234" s="3194"/>
      <c r="S234" s="3194"/>
      <c r="T234" s="3194"/>
      <c r="U234" s="3194"/>
      <c r="V234" s="3194"/>
      <c r="W234" s="3194"/>
      <c r="X234" s="4003"/>
      <c r="Y234" s="4124"/>
    </row>
    <row r="235" spans="1:26" s="1284" customFormat="1" ht="14.25" customHeight="1">
      <c r="A235" s="4117"/>
      <c r="B235" s="3188" t="s">
        <v>30</v>
      </c>
      <c r="C235" s="4136"/>
      <c r="D235" s="3171">
        <f>+D237+D236</f>
        <v>10795000</v>
      </c>
      <c r="E235" s="3171">
        <f t="shared" ref="E235:M235" si="268">+E237+E236</f>
        <v>0</v>
      </c>
      <c r="F235" s="3171">
        <f t="shared" si="268"/>
        <v>0</v>
      </c>
      <c r="G235" s="3171">
        <f t="shared" si="268"/>
        <v>0</v>
      </c>
      <c r="H235" s="3171">
        <f t="shared" si="268"/>
        <v>0</v>
      </c>
      <c r="I235" s="3171">
        <f t="shared" si="268"/>
        <v>0</v>
      </c>
      <c r="J235" s="3171">
        <f t="shared" si="268"/>
        <v>0</v>
      </c>
      <c r="K235" s="3171">
        <f t="shared" si="268"/>
        <v>0</v>
      </c>
      <c r="L235" s="3171">
        <f t="shared" si="268"/>
        <v>0</v>
      </c>
      <c r="M235" s="3196">
        <f t="shared" si="268"/>
        <v>0</v>
      </c>
      <c r="N235" s="3196">
        <f t="shared" ref="N235:P235" si="269">+N237+N236</f>
        <v>0</v>
      </c>
      <c r="O235" s="3196">
        <f t="shared" si="269"/>
        <v>0</v>
      </c>
      <c r="P235" s="3171">
        <f t="shared" si="269"/>
        <v>10145000</v>
      </c>
      <c r="Q235" s="3171">
        <f t="shared" ref="Q235" si="270">+Q237+Q236</f>
        <v>650000</v>
      </c>
      <c r="R235" s="3194"/>
      <c r="S235" s="3194"/>
      <c r="T235" s="3194"/>
      <c r="U235" s="3194"/>
      <c r="V235" s="3194"/>
      <c r="W235" s="3194"/>
      <c r="X235" s="4003"/>
      <c r="Y235" s="4124"/>
    </row>
    <row r="236" spans="1:26" s="1232" customFormat="1" ht="14.25" hidden="1" customHeight="1">
      <c r="A236" s="4117"/>
      <c r="B236" s="3187" t="s">
        <v>29</v>
      </c>
      <c r="C236" s="4136"/>
      <c r="D236" s="2367">
        <f>+E236+I236+J236+K236+L236</f>
        <v>0</v>
      </c>
      <c r="E236" s="3173">
        <v>0</v>
      </c>
      <c r="F236" s="3173"/>
      <c r="G236" s="3175"/>
      <c r="H236" s="3175"/>
      <c r="I236" s="3175">
        <v>0</v>
      </c>
      <c r="J236" s="3175">
        <v>0</v>
      </c>
      <c r="K236" s="3175">
        <v>0</v>
      </c>
      <c r="L236" s="3173">
        <v>0</v>
      </c>
      <c r="M236" s="3197"/>
      <c r="N236" s="3197">
        <v>0</v>
      </c>
      <c r="O236" s="3197">
        <v>0</v>
      </c>
      <c r="P236" s="3173">
        <v>0</v>
      </c>
      <c r="Q236" s="3173"/>
      <c r="R236" s="3194"/>
      <c r="S236" s="3194"/>
      <c r="T236" s="3194"/>
      <c r="U236" s="3194"/>
      <c r="V236" s="3194"/>
      <c r="W236" s="3194"/>
      <c r="X236" s="4003"/>
      <c r="Y236" s="4124"/>
    </row>
    <row r="237" spans="1:26" s="1285" customFormat="1" ht="14.25" customHeight="1" thickBot="1">
      <c r="A237" s="4118"/>
      <c r="B237" s="1306" t="s">
        <v>33</v>
      </c>
      <c r="C237" s="4137"/>
      <c r="D237" s="1652">
        <f t="shared" ref="D237" si="271">M237+O237+P237+Q237+R237+S237+T237+U237+V237+W237</f>
        <v>10795000</v>
      </c>
      <c r="E237" s="1307">
        <f>+F237+G237+H237</f>
        <v>0</v>
      </c>
      <c r="F237" s="1308"/>
      <c r="G237" s="1307"/>
      <c r="H237" s="1307"/>
      <c r="I237" s="1307">
        <v>0</v>
      </c>
      <c r="J237" s="1307"/>
      <c r="K237" s="1307"/>
      <c r="L237" s="1307"/>
      <c r="M237" s="1652">
        <f>+E237+I237+J237+K237+L237+N237</f>
        <v>0</v>
      </c>
      <c r="N237" s="1309">
        <v>0</v>
      </c>
      <c r="O237" s="1309">
        <v>0</v>
      </c>
      <c r="P237" s="1307">
        <v>10145000</v>
      </c>
      <c r="Q237" s="1307">
        <v>650000</v>
      </c>
      <c r="R237" s="1310"/>
      <c r="S237" s="1310"/>
      <c r="T237" s="1310"/>
      <c r="U237" s="1310"/>
      <c r="V237" s="1310"/>
      <c r="W237" s="1310"/>
      <c r="X237" s="4004"/>
      <c r="Y237" s="4125"/>
    </row>
    <row r="238" spans="1:26" ht="27" customHeight="1">
      <c r="A238" s="4091" t="s">
        <v>113</v>
      </c>
      <c r="B238" s="500" t="s">
        <v>457</v>
      </c>
      <c r="C238" s="480" t="s">
        <v>98</v>
      </c>
      <c r="D238" s="579"/>
      <c r="E238" s="553"/>
      <c r="F238" s="554"/>
      <c r="G238" s="553"/>
      <c r="H238" s="553"/>
      <c r="I238" s="553"/>
      <c r="J238" s="553"/>
      <c r="K238" s="553"/>
      <c r="L238" s="553"/>
      <c r="M238" s="553"/>
      <c r="N238" s="553"/>
      <c r="O238" s="553"/>
      <c r="P238" s="555"/>
      <c r="Q238" s="555"/>
      <c r="R238" s="555"/>
      <c r="S238" s="555"/>
      <c r="T238" s="555"/>
      <c r="U238" s="555"/>
      <c r="V238" s="555"/>
      <c r="W238" s="555"/>
      <c r="X238" s="446"/>
      <c r="Y238" s="542"/>
    </row>
    <row r="239" spans="1:26" ht="13.5" customHeight="1">
      <c r="A239" s="4071"/>
      <c r="B239" s="381" t="s">
        <v>22</v>
      </c>
      <c r="C239" s="382"/>
      <c r="D239" s="485">
        <f>+D240+D242</f>
        <v>14920489</v>
      </c>
      <c r="E239" s="485">
        <f t="shared" ref="E239:P239" si="272">+E240+E242</f>
        <v>0</v>
      </c>
      <c r="F239" s="485">
        <f t="shared" si="272"/>
        <v>0</v>
      </c>
      <c r="G239" s="485">
        <f t="shared" si="272"/>
        <v>0</v>
      </c>
      <c r="H239" s="485">
        <f t="shared" si="272"/>
        <v>0</v>
      </c>
      <c r="I239" s="485">
        <f t="shared" si="272"/>
        <v>0</v>
      </c>
      <c r="J239" s="485">
        <f>+J240+J242</f>
        <v>0</v>
      </c>
      <c r="K239" s="485">
        <f>+K240+K242</f>
        <v>57340</v>
      </c>
      <c r="L239" s="485">
        <f t="shared" si="272"/>
        <v>223550</v>
      </c>
      <c r="M239" s="485">
        <f t="shared" ref="M239" si="273">+M240+M242</f>
        <v>2220489</v>
      </c>
      <c r="N239" s="485">
        <f>+N240+N242</f>
        <v>1939599</v>
      </c>
      <c r="O239" s="1426">
        <f t="shared" si="272"/>
        <v>0</v>
      </c>
      <c r="P239" s="485">
        <f t="shared" si="272"/>
        <v>12700000</v>
      </c>
      <c r="Q239" s="485"/>
      <c r="R239" s="485"/>
      <c r="S239" s="485"/>
      <c r="T239" s="485"/>
      <c r="U239" s="485"/>
      <c r="V239" s="485"/>
      <c r="W239" s="485"/>
      <c r="X239" s="487">
        <f>+X240+X242</f>
        <v>12700000</v>
      </c>
      <c r="Y239" s="3901" t="s">
        <v>104</v>
      </c>
      <c r="Z239" s="1056"/>
    </row>
    <row r="240" spans="1:26" ht="12" customHeight="1">
      <c r="A240" s="4071"/>
      <c r="B240" s="533" t="s">
        <v>36</v>
      </c>
      <c r="C240" s="4129" t="s">
        <v>101</v>
      </c>
      <c r="D240" s="488">
        <f>+D241</f>
        <v>2476830</v>
      </c>
      <c r="E240" s="488">
        <f t="shared" ref="E240:P240" si="274">+E241</f>
        <v>0</v>
      </c>
      <c r="F240" s="488">
        <f t="shared" si="274"/>
        <v>0</v>
      </c>
      <c r="G240" s="488">
        <f t="shared" si="274"/>
        <v>0</v>
      </c>
      <c r="H240" s="488">
        <f t="shared" si="274"/>
        <v>0</v>
      </c>
      <c r="I240" s="488">
        <f t="shared" si="274"/>
        <v>0</v>
      </c>
      <c r="J240" s="488">
        <f t="shared" si="274"/>
        <v>0</v>
      </c>
      <c r="K240" s="488">
        <f t="shared" si="274"/>
        <v>57340</v>
      </c>
      <c r="L240" s="488">
        <f t="shared" si="274"/>
        <v>223550</v>
      </c>
      <c r="M240" s="488">
        <f t="shared" si="274"/>
        <v>571830</v>
      </c>
      <c r="N240" s="488">
        <f t="shared" si="274"/>
        <v>290940</v>
      </c>
      <c r="O240" s="1427">
        <f t="shared" si="274"/>
        <v>0</v>
      </c>
      <c r="P240" s="488">
        <f t="shared" si="274"/>
        <v>1905000</v>
      </c>
      <c r="Q240" s="488"/>
      <c r="R240" s="488"/>
      <c r="S240" s="488"/>
      <c r="T240" s="488"/>
      <c r="U240" s="488"/>
      <c r="V240" s="488"/>
      <c r="W240" s="488"/>
      <c r="X240" s="509">
        <f>+X241</f>
        <v>1905000</v>
      </c>
      <c r="Y240" s="3901"/>
      <c r="Z240" s="1056"/>
    </row>
    <row r="241" spans="1:25" ht="10.5" customHeight="1">
      <c r="A241" s="4071"/>
      <c r="B241" s="510" t="s">
        <v>24</v>
      </c>
      <c r="C241" s="4130"/>
      <c r="D241" s="456">
        <f t="shared" ref="D241" si="275">M241+O241+P241+Q241+R241+S241+T241+U241+V241+W241</f>
        <v>2476830</v>
      </c>
      <c r="E241" s="463">
        <f>+F241+G241+H241</f>
        <v>0</v>
      </c>
      <c r="F241" s="464">
        <v>0</v>
      </c>
      <c r="G241" s="463">
        <v>0</v>
      </c>
      <c r="H241" s="463">
        <v>0</v>
      </c>
      <c r="I241" s="463">
        <f>140382-140382</f>
        <v>0</v>
      </c>
      <c r="J241" s="463">
        <v>0</v>
      </c>
      <c r="K241" s="463">
        <v>57340</v>
      </c>
      <c r="L241" s="501">
        <f>2252660-1000000-1027660-1450-46118+46118</f>
        <v>223550</v>
      </c>
      <c r="M241" s="457">
        <f>+E241+I241+J241+K241+L241+N241</f>
        <v>571830</v>
      </c>
      <c r="N241" s="501">
        <f>1000000+820000+180000-60401-1648659+46118-46118</f>
        <v>290940</v>
      </c>
      <c r="O241" s="1073">
        <v>0</v>
      </c>
      <c r="P241" s="464">
        <v>1905000</v>
      </c>
      <c r="Q241" s="464"/>
      <c r="R241" s="464"/>
      <c r="S241" s="464"/>
      <c r="T241" s="464"/>
      <c r="U241" s="464"/>
      <c r="V241" s="464"/>
      <c r="W241" s="464"/>
      <c r="X241" s="416">
        <f>SUM(P241:T241)</f>
        <v>1905000</v>
      </c>
      <c r="Y241" s="3901"/>
    </row>
    <row r="242" spans="1:25" ht="12" customHeight="1">
      <c r="A242" s="4071"/>
      <c r="B242" s="525" t="s">
        <v>30</v>
      </c>
      <c r="C242" s="4130"/>
      <c r="D242" s="466">
        <f>+D243</f>
        <v>12443659</v>
      </c>
      <c r="E242" s="466">
        <f t="shared" ref="E242:P242" si="276">+E243</f>
        <v>0</v>
      </c>
      <c r="F242" s="466">
        <f t="shared" si="276"/>
        <v>0</v>
      </c>
      <c r="G242" s="466">
        <f t="shared" si="276"/>
        <v>0</v>
      </c>
      <c r="H242" s="466">
        <f t="shared" si="276"/>
        <v>0</v>
      </c>
      <c r="I242" s="466">
        <f t="shared" si="276"/>
        <v>0</v>
      </c>
      <c r="J242" s="466">
        <f t="shared" si="276"/>
        <v>0</v>
      </c>
      <c r="K242" s="466">
        <f t="shared" si="276"/>
        <v>0</v>
      </c>
      <c r="L242" s="466">
        <f t="shared" si="276"/>
        <v>0</v>
      </c>
      <c r="M242" s="466">
        <f t="shared" si="276"/>
        <v>1648659</v>
      </c>
      <c r="N242" s="466">
        <f t="shared" si="276"/>
        <v>1648659</v>
      </c>
      <c r="O242" s="1300">
        <f t="shared" si="276"/>
        <v>0</v>
      </c>
      <c r="P242" s="466">
        <f t="shared" si="276"/>
        <v>10795000</v>
      </c>
      <c r="Q242" s="466"/>
      <c r="R242" s="466"/>
      <c r="S242" s="466"/>
      <c r="T242" s="466"/>
      <c r="U242" s="466"/>
      <c r="V242" s="466"/>
      <c r="W242" s="466"/>
      <c r="X242" s="509">
        <f>+X243</f>
        <v>10795000</v>
      </c>
      <c r="Y242" s="3901"/>
    </row>
    <row r="243" spans="1:25" ht="12" customHeight="1">
      <c r="A243" s="4071"/>
      <c r="B243" s="496" t="s">
        <v>33</v>
      </c>
      <c r="C243" s="4130"/>
      <c r="D243" s="456">
        <f t="shared" ref="D243" si="277">M243+O243+P243+Q243+R243+S243+T243+U243+V243+W243</f>
        <v>12443659</v>
      </c>
      <c r="E243" s="463">
        <f>+F243+G243+H243</f>
        <v>0</v>
      </c>
      <c r="F243" s="464">
        <v>0</v>
      </c>
      <c r="G243" s="464">
        <v>0</v>
      </c>
      <c r="H243" s="463">
        <v>0</v>
      </c>
      <c r="I243" s="463">
        <f>163508-163508</f>
        <v>0</v>
      </c>
      <c r="J243" s="463"/>
      <c r="K243" s="463"/>
      <c r="L243" s="463">
        <v>0</v>
      </c>
      <c r="M243" s="457">
        <f>+E243+I243+J243+K243+L243+N243</f>
        <v>1648659</v>
      </c>
      <c r="N243" s="463">
        <v>1648659</v>
      </c>
      <c r="O243" s="1073">
        <v>0</v>
      </c>
      <c r="P243" s="464">
        <v>10795000</v>
      </c>
      <c r="Q243" s="464"/>
      <c r="R243" s="464"/>
      <c r="S243" s="464"/>
      <c r="T243" s="464"/>
      <c r="U243" s="464"/>
      <c r="V243" s="464"/>
      <c r="W243" s="464"/>
      <c r="X243" s="416">
        <f>SUM(P243:T243)</f>
        <v>10795000</v>
      </c>
      <c r="Y243" s="4073"/>
    </row>
    <row r="244" spans="1:25" s="1230" customFormat="1" ht="12.75" customHeight="1">
      <c r="A244" s="4117"/>
      <c r="B244" s="512" t="s">
        <v>34</v>
      </c>
      <c r="C244" s="382"/>
      <c r="D244" s="471">
        <f>+D245</f>
        <v>12443659</v>
      </c>
      <c r="E244" s="471">
        <f t="shared" ref="E244:Q245" si="278">+E245</f>
        <v>0</v>
      </c>
      <c r="F244" s="471">
        <f t="shared" si="278"/>
        <v>0</v>
      </c>
      <c r="G244" s="471">
        <f t="shared" si="278"/>
        <v>0</v>
      </c>
      <c r="H244" s="471">
        <f t="shared" si="278"/>
        <v>0</v>
      </c>
      <c r="I244" s="471">
        <f t="shared" si="278"/>
        <v>0</v>
      </c>
      <c r="J244" s="471">
        <f t="shared" si="278"/>
        <v>0</v>
      </c>
      <c r="K244" s="471">
        <f t="shared" si="278"/>
        <v>0</v>
      </c>
      <c r="L244" s="471">
        <f t="shared" si="278"/>
        <v>0</v>
      </c>
      <c r="M244" s="1302">
        <f t="shared" si="278"/>
        <v>0</v>
      </c>
      <c r="N244" s="1302">
        <f t="shared" si="278"/>
        <v>0</v>
      </c>
      <c r="O244" s="1302">
        <f t="shared" si="278"/>
        <v>0</v>
      </c>
      <c r="P244" s="471">
        <f t="shared" si="278"/>
        <v>11693659</v>
      </c>
      <c r="Q244" s="471">
        <f t="shared" si="278"/>
        <v>750000</v>
      </c>
      <c r="R244" s="471"/>
      <c r="S244" s="471"/>
      <c r="T244" s="471"/>
      <c r="U244" s="471"/>
      <c r="V244" s="471"/>
      <c r="W244" s="471"/>
      <c r="X244" s="4008" t="s">
        <v>35</v>
      </c>
      <c r="Y244" s="4149" t="s">
        <v>123</v>
      </c>
    </row>
    <row r="245" spans="1:25" s="1232" customFormat="1">
      <c r="A245" s="4117"/>
      <c r="B245" s="511" t="s">
        <v>30</v>
      </c>
      <c r="C245" s="4129" t="s">
        <v>401</v>
      </c>
      <c r="D245" s="518">
        <f>+D246</f>
        <v>12443659</v>
      </c>
      <c r="E245" s="518">
        <f t="shared" si="278"/>
        <v>0</v>
      </c>
      <c r="F245" s="518">
        <f t="shared" si="278"/>
        <v>0</v>
      </c>
      <c r="G245" s="518">
        <f t="shared" si="278"/>
        <v>0</v>
      </c>
      <c r="H245" s="518">
        <f t="shared" si="278"/>
        <v>0</v>
      </c>
      <c r="I245" s="518">
        <f t="shared" si="278"/>
        <v>0</v>
      </c>
      <c r="J245" s="518">
        <f t="shared" si="278"/>
        <v>0</v>
      </c>
      <c r="K245" s="518">
        <f t="shared" si="278"/>
        <v>0</v>
      </c>
      <c r="L245" s="518">
        <f t="shared" si="278"/>
        <v>0</v>
      </c>
      <c r="M245" s="1429">
        <f t="shared" si="278"/>
        <v>0</v>
      </c>
      <c r="N245" s="1429">
        <f t="shared" si="278"/>
        <v>0</v>
      </c>
      <c r="O245" s="1429">
        <f t="shared" si="278"/>
        <v>0</v>
      </c>
      <c r="P245" s="518">
        <f t="shared" si="278"/>
        <v>11693659</v>
      </c>
      <c r="Q245" s="518">
        <f t="shared" si="278"/>
        <v>750000</v>
      </c>
      <c r="R245" s="518"/>
      <c r="S245" s="518"/>
      <c r="T245" s="518"/>
      <c r="U245" s="518"/>
      <c r="V245" s="518"/>
      <c r="W245" s="518"/>
      <c r="X245" s="4009"/>
      <c r="Y245" s="4124"/>
    </row>
    <row r="246" spans="1:25" s="1232" customFormat="1" ht="13.5" thickBot="1">
      <c r="A246" s="4118"/>
      <c r="B246" s="582" t="s">
        <v>33</v>
      </c>
      <c r="C246" s="4126"/>
      <c r="D246" s="456">
        <f t="shared" ref="D246" si="279">M246+O246+P246+Q246+R246+S246+T246+U246+V246+W246</f>
        <v>12443659</v>
      </c>
      <c r="E246" s="572">
        <f>+F246+G246+H246</f>
        <v>0</v>
      </c>
      <c r="F246" s="573">
        <v>0</v>
      </c>
      <c r="G246" s="572">
        <v>0</v>
      </c>
      <c r="H246" s="572">
        <v>0</v>
      </c>
      <c r="I246" s="572">
        <v>0</v>
      </c>
      <c r="J246" s="572">
        <v>0</v>
      </c>
      <c r="K246" s="572"/>
      <c r="L246" s="572">
        <v>0</v>
      </c>
      <c r="M246" s="457">
        <f>+E246+I246+J246+K246+L246+N246</f>
        <v>0</v>
      </c>
      <c r="N246" s="1430">
        <v>0</v>
      </c>
      <c r="O246" s="1430">
        <v>0</v>
      </c>
      <c r="P246" s="575">
        <v>11693659</v>
      </c>
      <c r="Q246" s="575">
        <v>750000</v>
      </c>
      <c r="R246" s="575"/>
      <c r="S246" s="575"/>
      <c r="T246" s="575"/>
      <c r="U246" s="575"/>
      <c r="V246" s="575"/>
      <c r="W246" s="575"/>
      <c r="X246" s="4010"/>
      <c r="Y246" s="4125"/>
    </row>
    <row r="247" spans="1:25" s="1230" customFormat="1" ht="26.25" customHeight="1">
      <c r="A247" s="4091" t="s">
        <v>115</v>
      </c>
      <c r="B247" s="2270" t="s">
        <v>579</v>
      </c>
      <c r="C247" s="480" t="s">
        <v>98</v>
      </c>
      <c r="D247" s="481"/>
      <c r="E247" s="483"/>
      <c r="F247" s="483"/>
      <c r="G247" s="483"/>
      <c r="H247" s="483"/>
      <c r="I247" s="443"/>
      <c r="J247" s="443"/>
      <c r="K247" s="443"/>
      <c r="L247" s="443"/>
      <c r="M247" s="445"/>
      <c r="N247" s="445"/>
      <c r="O247" s="445"/>
      <c r="P247" s="445"/>
      <c r="Q247" s="445"/>
      <c r="R247" s="445"/>
      <c r="S247" s="445"/>
      <c r="T247" s="445"/>
      <c r="U247" s="1144"/>
      <c r="V247" s="1144"/>
      <c r="W247" s="1144"/>
      <c r="X247" s="484"/>
      <c r="Y247" s="447"/>
    </row>
    <row r="248" spans="1:25" s="1230" customFormat="1" ht="12" customHeight="1">
      <c r="A248" s="4071"/>
      <c r="B248" s="1795" t="s">
        <v>22</v>
      </c>
      <c r="C248" s="382"/>
      <c r="D248" s="485">
        <f t="shared" ref="D248" si="280">+D249+D253</f>
        <v>56220000</v>
      </c>
      <c r="E248" s="485">
        <f t="shared" ref="E248:Q248" si="281">+E249+E253</f>
        <v>0</v>
      </c>
      <c r="F248" s="485">
        <f t="shared" si="281"/>
        <v>0</v>
      </c>
      <c r="G248" s="485">
        <f t="shared" si="281"/>
        <v>0</v>
      </c>
      <c r="H248" s="485">
        <f t="shared" si="281"/>
        <v>0</v>
      </c>
      <c r="I248" s="485">
        <f t="shared" si="281"/>
        <v>0</v>
      </c>
      <c r="J248" s="485">
        <f t="shared" si="281"/>
        <v>0</v>
      </c>
      <c r="K248" s="485">
        <f t="shared" si="281"/>
        <v>0</v>
      </c>
      <c r="L248" s="485">
        <f t="shared" si="281"/>
        <v>394091</v>
      </c>
      <c r="M248" s="485">
        <f t="shared" si="281"/>
        <v>5830974</v>
      </c>
      <c r="N248" s="485">
        <f t="shared" si="281"/>
        <v>5436883</v>
      </c>
      <c r="O248" s="1952">
        <f t="shared" si="281"/>
        <v>187125</v>
      </c>
      <c r="P248" s="1952">
        <f t="shared" si="281"/>
        <v>37312875</v>
      </c>
      <c r="Q248" s="485">
        <f t="shared" si="281"/>
        <v>12889026</v>
      </c>
      <c r="R248" s="485"/>
      <c r="S248" s="485"/>
      <c r="T248" s="485"/>
      <c r="U248" s="485"/>
      <c r="V248" s="485"/>
      <c r="W248" s="485"/>
      <c r="X248" s="487">
        <f>X249+X253</f>
        <v>50201901</v>
      </c>
      <c r="Y248" s="3901" t="s">
        <v>104</v>
      </c>
    </row>
    <row r="249" spans="1:25" s="1230" customFormat="1" ht="12" customHeight="1">
      <c r="A249" s="4071"/>
      <c r="B249" s="2288" t="s">
        <v>36</v>
      </c>
      <c r="C249" s="4129" t="s">
        <v>101</v>
      </c>
      <c r="D249" s="488">
        <f t="shared" ref="D249" si="282">+D250+D251+D252</f>
        <v>8767977</v>
      </c>
      <c r="E249" s="488">
        <f t="shared" ref="E249:Q249" si="283">+E250+E251+E252</f>
        <v>0</v>
      </c>
      <c r="F249" s="488">
        <f t="shared" si="283"/>
        <v>0</v>
      </c>
      <c r="G249" s="488">
        <f t="shared" si="283"/>
        <v>0</v>
      </c>
      <c r="H249" s="488">
        <f t="shared" si="283"/>
        <v>0</v>
      </c>
      <c r="I249" s="488">
        <f t="shared" si="283"/>
        <v>0</v>
      </c>
      <c r="J249" s="488">
        <f t="shared" si="283"/>
        <v>0</v>
      </c>
      <c r="K249" s="488">
        <f t="shared" si="283"/>
        <v>0</v>
      </c>
      <c r="L249" s="488">
        <f t="shared" si="283"/>
        <v>394091</v>
      </c>
      <c r="M249" s="488">
        <f t="shared" si="283"/>
        <v>1209623</v>
      </c>
      <c r="N249" s="488">
        <f t="shared" si="283"/>
        <v>815532</v>
      </c>
      <c r="O249" s="1955">
        <f t="shared" si="283"/>
        <v>28069</v>
      </c>
      <c r="P249" s="1955">
        <f t="shared" si="283"/>
        <v>5596931</v>
      </c>
      <c r="Q249" s="488">
        <f t="shared" si="283"/>
        <v>1933354</v>
      </c>
      <c r="R249" s="488"/>
      <c r="S249" s="488"/>
      <c r="T249" s="488"/>
      <c r="U249" s="488"/>
      <c r="V249" s="488"/>
      <c r="W249" s="488"/>
      <c r="X249" s="509">
        <f>+X250</f>
        <v>7530285</v>
      </c>
      <c r="Y249" s="3901"/>
    </row>
    <row r="250" spans="1:25" s="1230" customFormat="1" ht="12" customHeight="1">
      <c r="A250" s="4071"/>
      <c r="B250" s="2289" t="s">
        <v>24</v>
      </c>
      <c r="C250" s="4136"/>
      <c r="D250" s="456">
        <f t="shared" ref="D250" si="284">M250+O250+P250+Q250+R250+S250+T250+U250+V250+W250</f>
        <v>8767977</v>
      </c>
      <c r="E250" s="463"/>
      <c r="F250" s="463"/>
      <c r="G250" s="463"/>
      <c r="H250" s="501"/>
      <c r="I250" s="501"/>
      <c r="J250" s="501"/>
      <c r="K250" s="501"/>
      <c r="L250" s="501">
        <v>394091</v>
      </c>
      <c r="M250" s="457">
        <f>+E250+I250+J250+K250+L250+N250</f>
        <v>1209623</v>
      </c>
      <c r="N250" s="457">
        <v>815532</v>
      </c>
      <c r="O250" s="1961">
        <f>75000-46931</f>
        <v>28069</v>
      </c>
      <c r="P250" s="1961">
        <f>5550000+46931</f>
        <v>5596931</v>
      </c>
      <c r="Q250" s="457">
        <v>1933354</v>
      </c>
      <c r="R250" s="464"/>
      <c r="S250" s="464"/>
      <c r="T250" s="464"/>
      <c r="U250" s="464"/>
      <c r="V250" s="464"/>
      <c r="W250" s="464"/>
      <c r="X250" s="416">
        <f>SUM(P250:T250)</f>
        <v>7530285</v>
      </c>
      <c r="Y250" s="3901"/>
    </row>
    <row r="251" spans="1:25" s="1230" customFormat="1" ht="12" hidden="1" customHeight="1">
      <c r="A251" s="4071"/>
      <c r="B251" s="510" t="s">
        <v>29</v>
      </c>
      <c r="C251" s="4136"/>
      <c r="D251" s="474">
        <f>+E251+I251+J251+K251+L251</f>
        <v>0</v>
      </c>
      <c r="E251" s="463">
        <f>+F251+G251+H251</f>
        <v>0</v>
      </c>
      <c r="F251" s="464">
        <v>0</v>
      </c>
      <c r="G251" s="463">
        <v>0</v>
      </c>
      <c r="H251" s="501">
        <f>142740-142740</f>
        <v>0</v>
      </c>
      <c r="I251" s="501">
        <f>201581-201581</f>
        <v>0</v>
      </c>
      <c r="J251" s="501"/>
      <c r="K251" s="463"/>
      <c r="L251" s="463">
        <v>0</v>
      </c>
      <c r="M251" s="463"/>
      <c r="N251" s="463">
        <v>0</v>
      </c>
      <c r="O251" s="1820">
        <v>0</v>
      </c>
      <c r="P251" s="1959">
        <v>0</v>
      </c>
      <c r="Q251" s="464"/>
      <c r="R251" s="464"/>
      <c r="S251" s="464"/>
      <c r="T251" s="464"/>
      <c r="U251" s="952"/>
      <c r="V251" s="952"/>
      <c r="W251" s="952"/>
      <c r="X251" s="493"/>
      <c r="Y251" s="3901"/>
    </row>
    <row r="252" spans="1:25" s="1230" customFormat="1" ht="12" hidden="1" customHeight="1">
      <c r="A252" s="4071"/>
      <c r="B252" s="491" t="s">
        <v>27</v>
      </c>
      <c r="C252" s="4136"/>
      <c r="D252" s="456">
        <f>SUM(M252:T252)</f>
        <v>0</v>
      </c>
      <c r="E252" s="463">
        <v>0</v>
      </c>
      <c r="F252" s="464"/>
      <c r="G252" s="463"/>
      <c r="H252" s="501"/>
      <c r="I252" s="501">
        <v>0</v>
      </c>
      <c r="J252" s="501">
        <v>0</v>
      </c>
      <c r="K252" s="501"/>
      <c r="L252" s="463">
        <v>0</v>
      </c>
      <c r="M252" s="463"/>
      <c r="N252" s="463">
        <v>0</v>
      </c>
      <c r="O252" s="1820">
        <v>0</v>
      </c>
      <c r="P252" s="1959">
        <v>0</v>
      </c>
      <c r="Q252" s="464"/>
      <c r="R252" s="464"/>
      <c r="S252" s="464"/>
      <c r="T252" s="464"/>
      <c r="U252" s="952"/>
      <c r="V252" s="952"/>
      <c r="W252" s="952"/>
      <c r="X252" s="493"/>
      <c r="Y252" s="3901"/>
    </row>
    <row r="253" spans="1:25" s="1230" customFormat="1" ht="12" customHeight="1">
      <c r="A253" s="4071"/>
      <c r="B253" s="465" t="s">
        <v>30</v>
      </c>
      <c r="C253" s="4136"/>
      <c r="D253" s="466">
        <f t="shared" ref="D253:Q253" si="285">+D254+D255</f>
        <v>47452023</v>
      </c>
      <c r="E253" s="466">
        <f t="shared" si="285"/>
        <v>0</v>
      </c>
      <c r="F253" s="466">
        <f t="shared" si="285"/>
        <v>0</v>
      </c>
      <c r="G253" s="466">
        <f t="shared" si="285"/>
        <v>0</v>
      </c>
      <c r="H253" s="466">
        <f t="shared" si="285"/>
        <v>0</v>
      </c>
      <c r="I253" s="466">
        <f t="shared" si="285"/>
        <v>0</v>
      </c>
      <c r="J253" s="466">
        <f t="shared" si="285"/>
        <v>0</v>
      </c>
      <c r="K253" s="466">
        <f t="shared" si="285"/>
        <v>0</v>
      </c>
      <c r="L253" s="466">
        <f t="shared" si="285"/>
        <v>0</v>
      </c>
      <c r="M253" s="466">
        <f t="shared" si="285"/>
        <v>4621351</v>
      </c>
      <c r="N253" s="466">
        <f t="shared" si="285"/>
        <v>4621351</v>
      </c>
      <c r="O253" s="1811">
        <f t="shared" si="285"/>
        <v>159056</v>
      </c>
      <c r="P253" s="1811">
        <f t="shared" si="285"/>
        <v>31715944</v>
      </c>
      <c r="Q253" s="466">
        <f t="shared" si="285"/>
        <v>10955672</v>
      </c>
      <c r="R253" s="466"/>
      <c r="S253" s="466"/>
      <c r="T253" s="466"/>
      <c r="U253" s="466"/>
      <c r="V253" s="466"/>
      <c r="W253" s="466"/>
      <c r="X253" s="509">
        <f>+X254+X255</f>
        <v>42671616</v>
      </c>
      <c r="Y253" s="3901"/>
    </row>
    <row r="254" spans="1:25" s="1230" customFormat="1" ht="12" hidden="1" customHeight="1">
      <c r="A254" s="4071"/>
      <c r="B254" s="510" t="s">
        <v>29</v>
      </c>
      <c r="C254" s="4136"/>
      <c r="D254" s="474">
        <v>0</v>
      </c>
      <c r="E254" s="463">
        <v>0</v>
      </c>
      <c r="F254" s="464">
        <v>0</v>
      </c>
      <c r="G254" s="463">
        <v>0</v>
      </c>
      <c r="H254" s="501">
        <v>0</v>
      </c>
      <c r="I254" s="501">
        <v>0</v>
      </c>
      <c r="J254" s="501">
        <v>0</v>
      </c>
      <c r="K254" s="463">
        <v>0</v>
      </c>
      <c r="L254" s="463">
        <v>0</v>
      </c>
      <c r="M254" s="1073"/>
      <c r="N254" s="463">
        <v>0</v>
      </c>
      <c r="O254" s="1820">
        <v>0</v>
      </c>
      <c r="P254" s="1959">
        <v>0</v>
      </c>
      <c r="Q254" s="464"/>
      <c r="R254" s="464"/>
      <c r="S254" s="464"/>
      <c r="T254" s="464"/>
      <c r="U254" s="952"/>
      <c r="V254" s="952"/>
      <c r="W254" s="952"/>
      <c r="X254" s="493"/>
      <c r="Y254" s="3901"/>
    </row>
    <row r="255" spans="1:25" s="1230" customFormat="1" ht="12" customHeight="1">
      <c r="A255" s="4071"/>
      <c r="B255" s="510" t="s">
        <v>33</v>
      </c>
      <c r="C255" s="4159"/>
      <c r="D255" s="456">
        <f t="shared" ref="D255" si="286">M255+O255+P255+Q255+R255+S255+T255+U255+V255+W255</f>
        <v>47452023</v>
      </c>
      <c r="E255" s="463">
        <f>+F255+G255+H255</f>
        <v>0</v>
      </c>
      <c r="F255" s="464"/>
      <c r="G255" s="463"/>
      <c r="H255" s="501"/>
      <c r="I255" s="501"/>
      <c r="J255" s="501"/>
      <c r="K255" s="463"/>
      <c r="L255" s="463">
        <v>0</v>
      </c>
      <c r="M255" s="457">
        <f>+E255+I255+J255+K255+L255+N255</f>
        <v>4621351</v>
      </c>
      <c r="N255" s="457">
        <v>4621351</v>
      </c>
      <c r="O255" s="1961">
        <f>425000-265944</f>
        <v>159056</v>
      </c>
      <c r="P255" s="1961">
        <f>31450000+265944</f>
        <v>31715944</v>
      </c>
      <c r="Q255" s="457">
        <v>10955672</v>
      </c>
      <c r="R255" s="464"/>
      <c r="S255" s="464"/>
      <c r="T255" s="464"/>
      <c r="U255" s="464"/>
      <c r="V255" s="464"/>
      <c r="W255" s="464"/>
      <c r="X255" s="416">
        <f>SUM(P255:T255)</f>
        <v>42671616</v>
      </c>
      <c r="Y255" s="4073"/>
    </row>
    <row r="256" spans="1:25" s="1230" customFormat="1" ht="12" customHeight="1">
      <c r="A256" s="4071"/>
      <c r="B256" s="524" t="s">
        <v>34</v>
      </c>
      <c r="C256" s="382"/>
      <c r="D256" s="471">
        <f>+D260+D257</f>
        <v>47452023</v>
      </c>
      <c r="E256" s="471">
        <f t="shared" ref="E256:M256" si="287">+E260+E257</f>
        <v>0</v>
      </c>
      <c r="F256" s="471">
        <f t="shared" si="287"/>
        <v>0</v>
      </c>
      <c r="G256" s="471">
        <f t="shared" si="287"/>
        <v>0</v>
      </c>
      <c r="H256" s="471">
        <f t="shared" si="287"/>
        <v>0</v>
      </c>
      <c r="I256" s="471">
        <f t="shared" si="287"/>
        <v>0</v>
      </c>
      <c r="J256" s="471">
        <f t="shared" si="287"/>
        <v>0</v>
      </c>
      <c r="K256" s="471">
        <f t="shared" si="287"/>
        <v>0</v>
      </c>
      <c r="L256" s="471">
        <f t="shared" si="287"/>
        <v>0</v>
      </c>
      <c r="M256" s="1302">
        <f t="shared" si="287"/>
        <v>0</v>
      </c>
      <c r="N256" s="1302">
        <f t="shared" ref="N256:P256" si="288">+N260+N257</f>
        <v>0</v>
      </c>
      <c r="O256" s="1302">
        <f t="shared" si="288"/>
        <v>0</v>
      </c>
      <c r="P256" s="471">
        <f t="shared" si="288"/>
        <v>36496351</v>
      </c>
      <c r="Q256" s="471">
        <f t="shared" ref="Q256" si="289">+Q260+Q257</f>
        <v>10955672</v>
      </c>
      <c r="R256" s="471"/>
      <c r="S256" s="471"/>
      <c r="T256" s="471"/>
      <c r="U256" s="471"/>
      <c r="V256" s="471"/>
      <c r="W256" s="471"/>
      <c r="X256" s="4008" t="s">
        <v>35</v>
      </c>
      <c r="Y256" s="4149" t="s">
        <v>123</v>
      </c>
    </row>
    <row r="257" spans="1:26" s="1230" customFormat="1" ht="12" hidden="1" customHeight="1">
      <c r="A257" s="4071"/>
      <c r="B257" s="452" t="s">
        <v>36</v>
      </c>
      <c r="C257" s="4129" t="s">
        <v>401</v>
      </c>
      <c r="D257" s="466">
        <f>+D258+D259</f>
        <v>0</v>
      </c>
      <c r="E257" s="466">
        <f t="shared" ref="E257:P257" si="290">+E258+E259</f>
        <v>0</v>
      </c>
      <c r="F257" s="466">
        <f t="shared" si="290"/>
        <v>0</v>
      </c>
      <c r="G257" s="466">
        <f t="shared" si="290"/>
        <v>0</v>
      </c>
      <c r="H257" s="466">
        <f t="shared" si="290"/>
        <v>0</v>
      </c>
      <c r="I257" s="466">
        <f t="shared" si="290"/>
        <v>0</v>
      </c>
      <c r="J257" s="466">
        <f t="shared" si="290"/>
        <v>0</v>
      </c>
      <c r="K257" s="466">
        <f t="shared" si="290"/>
        <v>0</v>
      </c>
      <c r="L257" s="466">
        <f t="shared" si="290"/>
        <v>0</v>
      </c>
      <c r="M257" s="1300"/>
      <c r="N257" s="1300">
        <f t="shared" si="290"/>
        <v>0</v>
      </c>
      <c r="O257" s="1300">
        <f t="shared" si="290"/>
        <v>0</v>
      </c>
      <c r="P257" s="466">
        <f t="shared" si="290"/>
        <v>0</v>
      </c>
      <c r="Q257" s="466">
        <f t="shared" ref="Q257" si="291">+Q258+Q259</f>
        <v>0</v>
      </c>
      <c r="R257" s="466"/>
      <c r="S257" s="466"/>
      <c r="T257" s="466"/>
      <c r="U257" s="466"/>
      <c r="V257" s="466"/>
      <c r="W257" s="466"/>
      <c r="X257" s="4009"/>
      <c r="Y257" s="4124"/>
    </row>
    <row r="258" spans="1:26" s="1230" customFormat="1" ht="12" hidden="1" customHeight="1">
      <c r="A258" s="4071"/>
      <c r="B258" s="491" t="s">
        <v>29</v>
      </c>
      <c r="C258" s="4136"/>
      <c r="D258" s="456">
        <f>SUM(M258:T258)</f>
        <v>0</v>
      </c>
      <c r="E258" s="473">
        <f>+F258+G258+H258</f>
        <v>0</v>
      </c>
      <c r="F258" s="473">
        <v>0</v>
      </c>
      <c r="G258" s="473">
        <v>0</v>
      </c>
      <c r="H258" s="473">
        <v>0</v>
      </c>
      <c r="I258" s="473">
        <v>0</v>
      </c>
      <c r="J258" s="473"/>
      <c r="K258" s="473"/>
      <c r="L258" s="473"/>
      <c r="M258" s="1304"/>
      <c r="N258" s="1304">
        <v>0</v>
      </c>
      <c r="O258" s="1304">
        <v>0</v>
      </c>
      <c r="P258" s="474">
        <v>0</v>
      </c>
      <c r="Q258" s="474">
        <v>0</v>
      </c>
      <c r="R258" s="474"/>
      <c r="S258" s="474"/>
      <c r="T258" s="474"/>
      <c r="U258" s="474"/>
      <c r="V258" s="474"/>
      <c r="W258" s="474"/>
      <c r="X258" s="4009"/>
      <c r="Y258" s="4124"/>
    </row>
    <row r="259" spans="1:26" s="1230" customFormat="1" ht="12" hidden="1" customHeight="1">
      <c r="A259" s="4071"/>
      <c r="B259" s="491" t="s">
        <v>27</v>
      </c>
      <c r="C259" s="4136"/>
      <c r="D259" s="474">
        <f>+E259+I259+J259+K259+L259</f>
        <v>0</v>
      </c>
      <c r="E259" s="473">
        <v>0</v>
      </c>
      <c r="F259" s="473"/>
      <c r="G259" s="473"/>
      <c r="H259" s="473"/>
      <c r="I259" s="473">
        <v>0</v>
      </c>
      <c r="J259" s="473">
        <v>0</v>
      </c>
      <c r="K259" s="473"/>
      <c r="L259" s="473">
        <v>0</v>
      </c>
      <c r="M259" s="1304"/>
      <c r="N259" s="1304">
        <v>0</v>
      </c>
      <c r="O259" s="1304">
        <v>0</v>
      </c>
      <c r="P259" s="474">
        <v>0</v>
      </c>
      <c r="Q259" s="474">
        <v>0</v>
      </c>
      <c r="R259" s="474"/>
      <c r="S259" s="474"/>
      <c r="T259" s="474"/>
      <c r="U259" s="474"/>
      <c r="V259" s="474"/>
      <c r="W259" s="474"/>
      <c r="X259" s="4009"/>
      <c r="Y259" s="4124"/>
    </row>
    <row r="260" spans="1:26" s="1230" customFormat="1" ht="12" customHeight="1">
      <c r="A260" s="4071"/>
      <c r="B260" s="525" t="s">
        <v>30</v>
      </c>
      <c r="C260" s="4136"/>
      <c r="D260" s="518">
        <f t="shared" ref="D260:P260" si="292">+D261+D262</f>
        <v>47452023</v>
      </c>
      <c r="E260" s="518">
        <f t="shared" si="292"/>
        <v>0</v>
      </c>
      <c r="F260" s="518">
        <f t="shared" si="292"/>
        <v>0</v>
      </c>
      <c r="G260" s="518">
        <f t="shared" si="292"/>
        <v>0</v>
      </c>
      <c r="H260" s="518">
        <f t="shared" si="292"/>
        <v>0</v>
      </c>
      <c r="I260" s="518">
        <f t="shared" si="292"/>
        <v>0</v>
      </c>
      <c r="J260" s="518">
        <f t="shared" si="292"/>
        <v>0</v>
      </c>
      <c r="K260" s="518">
        <f t="shared" si="292"/>
        <v>0</v>
      </c>
      <c r="L260" s="518">
        <f t="shared" si="292"/>
        <v>0</v>
      </c>
      <c r="M260" s="1429">
        <v>0</v>
      </c>
      <c r="N260" s="1429">
        <f t="shared" si="292"/>
        <v>0</v>
      </c>
      <c r="O260" s="1429">
        <f t="shared" si="292"/>
        <v>0</v>
      </c>
      <c r="P260" s="526">
        <f t="shared" si="292"/>
        <v>36496351</v>
      </c>
      <c r="Q260" s="526">
        <f t="shared" ref="Q260" si="293">+Q261+Q262</f>
        <v>10955672</v>
      </c>
      <c r="R260" s="526"/>
      <c r="S260" s="526"/>
      <c r="T260" s="526"/>
      <c r="U260" s="526"/>
      <c r="V260" s="526"/>
      <c r="W260" s="526"/>
      <c r="X260" s="4009"/>
      <c r="Y260" s="4124"/>
    </row>
    <row r="261" spans="1:26" s="1230" customFormat="1" ht="12" hidden="1" customHeight="1">
      <c r="A261" s="4071"/>
      <c r="B261" s="510" t="s">
        <v>29</v>
      </c>
      <c r="C261" s="4136"/>
      <c r="D261" s="456">
        <f>SUM(M261:T261)</f>
        <v>0</v>
      </c>
      <c r="E261" s="473">
        <f>+F261+G261+H261</f>
        <v>0</v>
      </c>
      <c r="F261" s="473">
        <v>0</v>
      </c>
      <c r="G261" s="473">
        <v>0</v>
      </c>
      <c r="H261" s="473">
        <v>0</v>
      </c>
      <c r="I261" s="473">
        <v>0</v>
      </c>
      <c r="J261" s="473">
        <v>0</v>
      </c>
      <c r="K261" s="473">
        <v>0</v>
      </c>
      <c r="L261" s="473">
        <v>0</v>
      </c>
      <c r="M261" s="1304"/>
      <c r="N261" s="1304">
        <v>0</v>
      </c>
      <c r="O261" s="1304">
        <v>0</v>
      </c>
      <c r="P261" s="474">
        <v>0</v>
      </c>
      <c r="Q261" s="474"/>
      <c r="R261" s="474"/>
      <c r="S261" s="474"/>
      <c r="T261" s="474"/>
      <c r="U261" s="474"/>
      <c r="V261" s="474"/>
      <c r="W261" s="474"/>
      <c r="X261" s="4009"/>
      <c r="Y261" s="4124"/>
    </row>
    <row r="262" spans="1:26" s="1230" customFormat="1" ht="14.25" customHeight="1" thickBot="1">
      <c r="A262" s="4072"/>
      <c r="B262" s="528" t="s">
        <v>33</v>
      </c>
      <c r="C262" s="4137"/>
      <c r="D262" s="456">
        <f t="shared" ref="D262" si="294">M262+O262+P262+Q262+R262+S262+T262+U262+V262+W262</f>
        <v>47452023</v>
      </c>
      <c r="E262" s="476">
        <v>0</v>
      </c>
      <c r="F262" s="476"/>
      <c r="G262" s="476"/>
      <c r="H262" s="476"/>
      <c r="I262" s="476">
        <v>0</v>
      </c>
      <c r="J262" s="476">
        <v>0</v>
      </c>
      <c r="K262" s="476"/>
      <c r="L262" s="476"/>
      <c r="M262" s="457">
        <f>+E262+I262+J262+K262+L262+N262</f>
        <v>0</v>
      </c>
      <c r="N262" s="1431">
        <v>0</v>
      </c>
      <c r="O262" s="1431">
        <v>0</v>
      </c>
      <c r="P262" s="457">
        <v>36496351</v>
      </c>
      <c r="Q262" s="457">
        <v>10955672</v>
      </c>
      <c r="R262" s="503"/>
      <c r="S262" s="503"/>
      <c r="T262" s="503"/>
      <c r="U262" s="503"/>
      <c r="V262" s="503"/>
      <c r="W262" s="503"/>
      <c r="X262" s="4010"/>
      <c r="Y262" s="4125"/>
    </row>
    <row r="263" spans="1:26" ht="26.25" customHeight="1">
      <c r="A263" s="4091" t="s">
        <v>116</v>
      </c>
      <c r="B263" s="2270" t="s">
        <v>575</v>
      </c>
      <c r="C263" s="480" t="s">
        <v>98</v>
      </c>
      <c r="D263" s="481"/>
      <c r="E263" s="483"/>
      <c r="F263" s="482"/>
      <c r="G263" s="483"/>
      <c r="H263" s="483"/>
      <c r="I263" s="443"/>
      <c r="J263" s="443"/>
      <c r="K263" s="443"/>
      <c r="L263" s="443"/>
      <c r="M263" s="445"/>
      <c r="N263" s="445"/>
      <c r="O263" s="445"/>
      <c r="P263" s="445"/>
      <c r="Q263" s="445"/>
      <c r="R263" s="445"/>
      <c r="S263" s="445"/>
      <c r="T263" s="445"/>
      <c r="U263" s="445"/>
      <c r="V263" s="445"/>
      <c r="W263" s="445"/>
      <c r="X263" s="446"/>
      <c r="Y263" s="542"/>
    </row>
    <row r="264" spans="1:26" ht="13.5" customHeight="1">
      <c r="A264" s="4071"/>
      <c r="B264" s="1822" t="s">
        <v>22</v>
      </c>
      <c r="C264" s="382"/>
      <c r="D264" s="485">
        <f t="shared" ref="D264:O264" si="295">+D265+D268</f>
        <v>9100000</v>
      </c>
      <c r="E264" s="485">
        <f>+E265+E268</f>
        <v>0</v>
      </c>
      <c r="F264" s="486">
        <f t="shared" si="295"/>
        <v>0</v>
      </c>
      <c r="G264" s="486">
        <f t="shared" si="295"/>
        <v>0</v>
      </c>
      <c r="H264" s="486">
        <f t="shared" si="295"/>
        <v>0</v>
      </c>
      <c r="I264" s="486">
        <f t="shared" si="295"/>
        <v>0</v>
      </c>
      <c r="J264" s="486">
        <f t="shared" si="295"/>
        <v>0</v>
      </c>
      <c r="K264" s="486">
        <f t="shared" si="295"/>
        <v>0</v>
      </c>
      <c r="L264" s="486">
        <f t="shared" si="295"/>
        <v>0</v>
      </c>
      <c r="M264" s="1432">
        <f t="shared" ref="M264" si="296">+M265+M268</f>
        <v>0</v>
      </c>
      <c r="N264" s="1432">
        <f t="shared" si="295"/>
        <v>0</v>
      </c>
      <c r="O264" s="1365">
        <f t="shared" si="295"/>
        <v>0</v>
      </c>
      <c r="P264" s="1365">
        <f>+P265+P268</f>
        <v>6000000</v>
      </c>
      <c r="Q264" s="486">
        <f>+Q265+Q268</f>
        <v>3100000</v>
      </c>
      <c r="R264" s="486"/>
      <c r="S264" s="486"/>
      <c r="T264" s="486"/>
      <c r="U264" s="486"/>
      <c r="V264" s="486"/>
      <c r="W264" s="486"/>
      <c r="X264" s="487">
        <f>X265+X268</f>
        <v>9100000</v>
      </c>
      <c r="Y264" s="3901" t="s">
        <v>104</v>
      </c>
      <c r="Z264" s="1056"/>
    </row>
    <row r="265" spans="1:26" ht="13.5" customHeight="1">
      <c r="A265" s="4071"/>
      <c r="B265" s="1954" t="s">
        <v>36</v>
      </c>
      <c r="C265" s="4129" t="s">
        <v>101</v>
      </c>
      <c r="D265" s="488">
        <f>+D266+D267</f>
        <v>1365000</v>
      </c>
      <c r="E265" s="488">
        <f>+E266+E267</f>
        <v>0</v>
      </c>
      <c r="F265" s="488">
        <f t="shared" ref="F265:O265" si="297">+F266+F267</f>
        <v>0</v>
      </c>
      <c r="G265" s="488">
        <f t="shared" si="297"/>
        <v>0</v>
      </c>
      <c r="H265" s="488">
        <f t="shared" si="297"/>
        <v>0</v>
      </c>
      <c r="I265" s="488">
        <f t="shared" si="297"/>
        <v>0</v>
      </c>
      <c r="J265" s="488">
        <f t="shared" si="297"/>
        <v>0</v>
      </c>
      <c r="K265" s="488">
        <f t="shared" si="297"/>
        <v>0</v>
      </c>
      <c r="L265" s="488">
        <f t="shared" si="297"/>
        <v>0</v>
      </c>
      <c r="M265" s="1427">
        <f t="shared" ref="M265" si="298">+M266+M267</f>
        <v>0</v>
      </c>
      <c r="N265" s="1427">
        <f t="shared" si="297"/>
        <v>0</v>
      </c>
      <c r="O265" s="1955">
        <f t="shared" si="297"/>
        <v>0</v>
      </c>
      <c r="P265" s="1955">
        <f>+P266+P267</f>
        <v>900000</v>
      </c>
      <c r="Q265" s="488">
        <f>+Q266+Q267</f>
        <v>465000</v>
      </c>
      <c r="R265" s="488"/>
      <c r="S265" s="488"/>
      <c r="T265" s="488"/>
      <c r="U265" s="488"/>
      <c r="V265" s="488"/>
      <c r="W265" s="488"/>
      <c r="X265" s="509">
        <f>X266</f>
        <v>1365000</v>
      </c>
      <c r="Y265" s="3901"/>
      <c r="Z265" s="1056"/>
    </row>
    <row r="266" spans="1:26" ht="11.25" customHeight="1">
      <c r="A266" s="4071"/>
      <c r="B266" s="1957" t="s">
        <v>24</v>
      </c>
      <c r="C266" s="4130"/>
      <c r="D266" s="456">
        <f t="shared" ref="D266" si="299">M266+O266+P266+Q266+R266+S266+T266+U266+V266+W266</f>
        <v>1365000</v>
      </c>
      <c r="E266" s="463"/>
      <c r="F266" s="464">
        <v>0</v>
      </c>
      <c r="G266" s="463">
        <v>0</v>
      </c>
      <c r="H266" s="501">
        <v>0</v>
      </c>
      <c r="I266" s="501"/>
      <c r="J266" s="501"/>
      <c r="K266" s="463"/>
      <c r="L266" s="501"/>
      <c r="M266" s="1658">
        <f>+E266+I266+J266+K266+L266+N266</f>
        <v>0</v>
      </c>
      <c r="N266" s="1073">
        <v>0</v>
      </c>
      <c r="O266" s="2855">
        <f>6000-6000</f>
        <v>0</v>
      </c>
      <c r="P266" s="2855">
        <f>894000+6000</f>
        <v>900000</v>
      </c>
      <c r="Q266" s="1433">
        <v>465000</v>
      </c>
      <c r="R266" s="1433"/>
      <c r="S266" s="457"/>
      <c r="T266" s="457"/>
      <c r="U266" s="457"/>
      <c r="V266" s="457"/>
      <c r="W266" s="457"/>
      <c r="X266" s="416">
        <f>SUM(P266:T266)</f>
        <v>1365000</v>
      </c>
      <c r="Y266" s="3901"/>
      <c r="Z266" s="1056"/>
    </row>
    <row r="267" spans="1:26" ht="10.5" hidden="1" customHeight="1">
      <c r="A267" s="4071"/>
      <c r="B267" s="2856" t="s">
        <v>27</v>
      </c>
      <c r="C267" s="4130"/>
      <c r="D267" s="1163">
        <f t="shared" ref="D267" si="300">SUM(M267:T267)</f>
        <v>0</v>
      </c>
      <c r="E267" s="463">
        <v>0</v>
      </c>
      <c r="F267" s="461">
        <v>0</v>
      </c>
      <c r="G267" s="461">
        <v>0</v>
      </c>
      <c r="H267" s="494">
        <v>0</v>
      </c>
      <c r="I267" s="494"/>
      <c r="J267" s="494"/>
      <c r="K267" s="461">
        <v>0</v>
      </c>
      <c r="L267" s="461">
        <v>0</v>
      </c>
      <c r="M267" s="1301">
        <v>0</v>
      </c>
      <c r="N267" s="1301">
        <v>0</v>
      </c>
      <c r="O267" s="1818">
        <v>0</v>
      </c>
      <c r="P267" s="1818">
        <v>0</v>
      </c>
      <c r="Q267" s="461"/>
      <c r="R267" s="461"/>
      <c r="S267" s="461"/>
      <c r="T267" s="461"/>
      <c r="U267" s="952"/>
      <c r="V267" s="952"/>
      <c r="W267" s="952"/>
      <c r="X267" s="493"/>
      <c r="Y267" s="3901"/>
    </row>
    <row r="268" spans="1:26" ht="12.75" customHeight="1">
      <c r="A268" s="4071"/>
      <c r="B268" s="1851" t="s">
        <v>30</v>
      </c>
      <c r="C268" s="4130"/>
      <c r="D268" s="466">
        <f>+D269</f>
        <v>7735000</v>
      </c>
      <c r="E268" s="467">
        <f>+E269</f>
        <v>0</v>
      </c>
      <c r="F268" s="467">
        <f t="shared" ref="F268:Q268" si="301">+F269</f>
        <v>0</v>
      </c>
      <c r="G268" s="467">
        <f t="shared" si="301"/>
        <v>0</v>
      </c>
      <c r="H268" s="467">
        <f t="shared" si="301"/>
        <v>0</v>
      </c>
      <c r="I268" s="467">
        <f t="shared" si="301"/>
        <v>0</v>
      </c>
      <c r="J268" s="467">
        <f t="shared" si="301"/>
        <v>0</v>
      </c>
      <c r="K268" s="467">
        <f t="shared" si="301"/>
        <v>0</v>
      </c>
      <c r="L268" s="467">
        <f t="shared" si="301"/>
        <v>0</v>
      </c>
      <c r="M268" s="1434">
        <f t="shared" si="301"/>
        <v>0</v>
      </c>
      <c r="N268" s="1434">
        <f t="shared" si="301"/>
        <v>0</v>
      </c>
      <c r="O268" s="1812">
        <f t="shared" si="301"/>
        <v>0</v>
      </c>
      <c r="P268" s="1812">
        <f t="shared" si="301"/>
        <v>5100000</v>
      </c>
      <c r="Q268" s="467">
        <f t="shared" si="301"/>
        <v>2635000</v>
      </c>
      <c r="R268" s="467"/>
      <c r="S268" s="467"/>
      <c r="T268" s="467"/>
      <c r="U268" s="466"/>
      <c r="V268" s="466"/>
      <c r="W268" s="466"/>
      <c r="X268" s="509">
        <f>X269</f>
        <v>7735000</v>
      </c>
      <c r="Y268" s="3901"/>
    </row>
    <row r="269" spans="1:26" ht="12" customHeight="1">
      <c r="A269" s="4071"/>
      <c r="B269" s="1957" t="s">
        <v>33</v>
      </c>
      <c r="C269" s="4161"/>
      <c r="D269" s="456">
        <f t="shared" ref="D269" si="302">M269+O269+P269+Q269+R269+S269+T269+U269+V269+W269</f>
        <v>7735000</v>
      </c>
      <c r="E269" s="463"/>
      <c r="F269" s="464">
        <v>0</v>
      </c>
      <c r="G269" s="463">
        <v>0</v>
      </c>
      <c r="H269" s="501">
        <v>0</v>
      </c>
      <c r="I269" s="501"/>
      <c r="J269" s="501"/>
      <c r="K269" s="463">
        <v>0</v>
      </c>
      <c r="L269" s="463">
        <v>0</v>
      </c>
      <c r="M269" s="1658">
        <f>+E269+I269+J269+K269+L269+N269</f>
        <v>0</v>
      </c>
      <c r="N269" s="1073">
        <v>0</v>
      </c>
      <c r="O269" s="1961">
        <f>34000-34000</f>
        <v>0</v>
      </c>
      <c r="P269" s="1961">
        <f>5066000+34000</f>
        <v>5100000</v>
      </c>
      <c r="Q269" s="457">
        <v>2635000</v>
      </c>
      <c r="R269" s="457"/>
      <c r="S269" s="463"/>
      <c r="T269" s="463"/>
      <c r="U269" s="464"/>
      <c r="V269" s="464"/>
      <c r="W269" s="464"/>
      <c r="X269" s="416">
        <f>SUM(P269:T269)</f>
        <v>7735000</v>
      </c>
      <c r="Y269" s="4073"/>
    </row>
    <row r="270" spans="1:26" s="1066" customFormat="1" ht="13.5" customHeight="1">
      <c r="A270" s="4117"/>
      <c r="B270" s="550" t="s">
        <v>34</v>
      </c>
      <c r="C270" s="545"/>
      <c r="D270" s="578">
        <f t="shared" ref="D270:O270" si="303">+D271+D273</f>
        <v>7735000</v>
      </c>
      <c r="E270" s="1069">
        <f t="shared" si="303"/>
        <v>0</v>
      </c>
      <c r="F270" s="1069">
        <f t="shared" si="303"/>
        <v>0</v>
      </c>
      <c r="G270" s="1069">
        <f t="shared" si="303"/>
        <v>0</v>
      </c>
      <c r="H270" s="1069">
        <f t="shared" si="303"/>
        <v>0</v>
      </c>
      <c r="I270" s="1069">
        <f t="shared" si="303"/>
        <v>0</v>
      </c>
      <c r="J270" s="1069">
        <f t="shared" si="303"/>
        <v>0</v>
      </c>
      <c r="K270" s="1069">
        <f t="shared" si="303"/>
        <v>0</v>
      </c>
      <c r="L270" s="1069">
        <f t="shared" si="303"/>
        <v>0</v>
      </c>
      <c r="M270" s="1074">
        <f t="shared" ref="M270" si="304">+M271+M273</f>
        <v>0</v>
      </c>
      <c r="N270" s="1074">
        <f t="shared" si="303"/>
        <v>0</v>
      </c>
      <c r="O270" s="1074">
        <f t="shared" si="303"/>
        <v>0</v>
      </c>
      <c r="P270" s="1069">
        <f>+P271+P273</f>
        <v>4000000</v>
      </c>
      <c r="Q270" s="1069">
        <f>+Q271+Q273</f>
        <v>3735000</v>
      </c>
      <c r="R270" s="1069"/>
      <c r="S270" s="1069"/>
      <c r="T270" s="1069"/>
      <c r="U270" s="1069"/>
      <c r="V270" s="1069"/>
      <c r="W270" s="1069"/>
      <c r="X270" s="4002" t="s">
        <v>35</v>
      </c>
      <c r="Y270" s="4177" t="s">
        <v>123</v>
      </c>
    </row>
    <row r="271" spans="1:26" ht="13.5" hidden="1" customHeight="1">
      <c r="A271" s="4117"/>
      <c r="B271" s="452" t="s">
        <v>36</v>
      </c>
      <c r="C271" s="4174" t="s">
        <v>426</v>
      </c>
      <c r="D271" s="472">
        <f>+D272</f>
        <v>0</v>
      </c>
      <c r="E271" s="472">
        <f t="shared" ref="E271:P271" si="305">+E272</f>
        <v>0</v>
      </c>
      <c r="F271" s="472">
        <f t="shared" si="305"/>
        <v>0</v>
      </c>
      <c r="G271" s="472">
        <f t="shared" si="305"/>
        <v>0</v>
      </c>
      <c r="H271" s="472">
        <f t="shared" si="305"/>
        <v>0</v>
      </c>
      <c r="I271" s="472">
        <f t="shared" si="305"/>
        <v>0</v>
      </c>
      <c r="J271" s="472">
        <f t="shared" si="305"/>
        <v>0</v>
      </c>
      <c r="K271" s="472">
        <f t="shared" si="305"/>
        <v>0</v>
      </c>
      <c r="L271" s="472">
        <f t="shared" si="305"/>
        <v>0</v>
      </c>
      <c r="M271" s="1303">
        <f t="shared" si="305"/>
        <v>0</v>
      </c>
      <c r="N271" s="1303">
        <f t="shared" si="305"/>
        <v>0</v>
      </c>
      <c r="O271" s="1303">
        <f t="shared" si="305"/>
        <v>0</v>
      </c>
      <c r="P271" s="472">
        <f t="shared" si="305"/>
        <v>0</v>
      </c>
      <c r="Q271" s="472"/>
      <c r="R271" s="472"/>
      <c r="S271" s="472"/>
      <c r="T271" s="472"/>
      <c r="U271" s="472"/>
      <c r="V271" s="472"/>
      <c r="W271" s="472"/>
      <c r="X271" s="4003"/>
      <c r="Y271" s="4178"/>
    </row>
    <row r="272" spans="1:26" ht="13.5" hidden="1" customHeight="1">
      <c r="A272" s="4117"/>
      <c r="B272" s="549" t="s">
        <v>27</v>
      </c>
      <c r="C272" s="4175"/>
      <c r="D272" s="456">
        <f>SUM(M272:T272)</f>
        <v>0</v>
      </c>
      <c r="E272" s="474">
        <f>+F272+G272+H272</f>
        <v>0</v>
      </c>
      <c r="F272" s="474">
        <v>0</v>
      </c>
      <c r="G272" s="474">
        <v>0</v>
      </c>
      <c r="H272" s="474">
        <v>0</v>
      </c>
      <c r="I272" s="474"/>
      <c r="J272" s="474"/>
      <c r="K272" s="474">
        <v>0</v>
      </c>
      <c r="L272" s="474">
        <v>0</v>
      </c>
      <c r="M272" s="1305">
        <v>0</v>
      </c>
      <c r="N272" s="1305">
        <v>0</v>
      </c>
      <c r="O272" s="1305">
        <v>0</v>
      </c>
      <c r="P272" s="474">
        <v>0</v>
      </c>
      <c r="Q272" s="474"/>
      <c r="R272" s="474"/>
      <c r="S272" s="474"/>
      <c r="T272" s="474"/>
      <c r="U272" s="474"/>
      <c r="V272" s="474"/>
      <c r="W272" s="474"/>
      <c r="X272" s="4003"/>
      <c r="Y272" s="4178"/>
    </row>
    <row r="273" spans="1:26" ht="12" customHeight="1">
      <c r="A273" s="4117"/>
      <c r="B273" s="465" t="s">
        <v>30</v>
      </c>
      <c r="C273" s="4175"/>
      <c r="D273" s="466">
        <f t="shared" ref="D273:Q273" si="306">+D274</f>
        <v>7735000</v>
      </c>
      <c r="E273" s="467">
        <f t="shared" si="306"/>
        <v>0</v>
      </c>
      <c r="F273" s="467">
        <f t="shared" si="306"/>
        <v>0</v>
      </c>
      <c r="G273" s="467">
        <f t="shared" si="306"/>
        <v>0</v>
      </c>
      <c r="H273" s="467">
        <f t="shared" si="306"/>
        <v>0</v>
      </c>
      <c r="I273" s="467">
        <f t="shared" si="306"/>
        <v>0</v>
      </c>
      <c r="J273" s="467">
        <f t="shared" si="306"/>
        <v>0</v>
      </c>
      <c r="K273" s="467">
        <f t="shared" si="306"/>
        <v>0</v>
      </c>
      <c r="L273" s="467">
        <f t="shared" si="306"/>
        <v>0</v>
      </c>
      <c r="M273" s="1434">
        <f t="shared" si="306"/>
        <v>0</v>
      </c>
      <c r="N273" s="1434">
        <f t="shared" si="306"/>
        <v>0</v>
      </c>
      <c r="O273" s="1434">
        <f t="shared" si="306"/>
        <v>0</v>
      </c>
      <c r="P273" s="467">
        <f t="shared" si="306"/>
        <v>4000000</v>
      </c>
      <c r="Q273" s="467">
        <f t="shared" si="306"/>
        <v>3735000</v>
      </c>
      <c r="R273" s="467"/>
      <c r="S273" s="467"/>
      <c r="T273" s="467"/>
      <c r="U273" s="467"/>
      <c r="V273" s="467"/>
      <c r="W273" s="467"/>
      <c r="X273" s="4003"/>
      <c r="Y273" s="4178"/>
    </row>
    <row r="274" spans="1:26" ht="13.5" customHeight="1" thickBot="1">
      <c r="A274" s="4118"/>
      <c r="B274" s="497" t="s">
        <v>33</v>
      </c>
      <c r="C274" s="4176"/>
      <c r="D274" s="1652">
        <f t="shared" ref="D274" si="307">M274+O274+P274+Q274+R274+S274+T274+U274+V274+W274</f>
        <v>7735000</v>
      </c>
      <c r="E274" s="498">
        <f>+F274+G274+H274</f>
        <v>0</v>
      </c>
      <c r="F274" s="499">
        <v>0</v>
      </c>
      <c r="G274" s="498">
        <v>0</v>
      </c>
      <c r="H274" s="498">
        <v>0</v>
      </c>
      <c r="I274" s="498"/>
      <c r="J274" s="498"/>
      <c r="K274" s="498">
        <v>0</v>
      </c>
      <c r="L274" s="498">
        <v>0</v>
      </c>
      <c r="M274" s="1659">
        <f>+E274+I274+J274+K274+L274+N274</f>
        <v>0</v>
      </c>
      <c r="N274" s="1435">
        <v>0</v>
      </c>
      <c r="O274" s="1435">
        <v>0</v>
      </c>
      <c r="P274" s="498">
        <v>4000000</v>
      </c>
      <c r="Q274" s="498">
        <v>3735000</v>
      </c>
      <c r="R274" s="498"/>
      <c r="S274" s="498"/>
      <c r="T274" s="498"/>
      <c r="U274" s="498"/>
      <c r="V274" s="498"/>
      <c r="W274" s="498"/>
      <c r="X274" s="4004"/>
      <c r="Y274" s="4179"/>
    </row>
    <row r="275" spans="1:26" ht="25.5" customHeight="1">
      <c r="A275" s="4102" t="s">
        <v>117</v>
      </c>
      <c r="B275" s="1944" t="s">
        <v>610</v>
      </c>
      <c r="C275" s="1945" t="s">
        <v>98</v>
      </c>
      <c r="D275" s="2796"/>
      <c r="E275" s="2797"/>
      <c r="F275" s="2798"/>
      <c r="G275" s="2797"/>
      <c r="H275" s="2797"/>
      <c r="I275" s="2797"/>
      <c r="J275" s="2797"/>
      <c r="K275" s="2797"/>
      <c r="L275" s="2797"/>
      <c r="M275" s="2287"/>
      <c r="N275" s="2287"/>
      <c r="O275" s="2287"/>
      <c r="P275" s="2287"/>
      <c r="Q275" s="2287"/>
      <c r="R275" s="2287"/>
      <c r="S275" s="2287"/>
      <c r="T275" s="2287"/>
      <c r="U275" s="2287"/>
      <c r="V275" s="2287"/>
      <c r="W275" s="2287"/>
      <c r="X275" s="2396"/>
      <c r="Y275" s="3897" t="s">
        <v>104</v>
      </c>
    </row>
    <row r="276" spans="1:26" ht="12.75" customHeight="1">
      <c r="A276" s="4103"/>
      <c r="B276" s="1795" t="s">
        <v>22</v>
      </c>
      <c r="C276" s="1796"/>
      <c r="D276" s="2799">
        <f t="shared" ref="D276:P276" si="308">+D277+D280</f>
        <v>10144499</v>
      </c>
      <c r="E276" s="2800">
        <f t="shared" si="308"/>
        <v>0</v>
      </c>
      <c r="F276" s="2800">
        <f t="shared" si="308"/>
        <v>0</v>
      </c>
      <c r="G276" s="2800">
        <f t="shared" si="308"/>
        <v>0</v>
      </c>
      <c r="H276" s="2800">
        <f t="shared" si="308"/>
        <v>0</v>
      </c>
      <c r="I276" s="2800">
        <f t="shared" si="308"/>
        <v>0</v>
      </c>
      <c r="J276" s="2800">
        <f t="shared" si="308"/>
        <v>0</v>
      </c>
      <c r="K276" s="2800">
        <f t="shared" si="308"/>
        <v>0</v>
      </c>
      <c r="L276" s="2800">
        <f t="shared" si="308"/>
        <v>0</v>
      </c>
      <c r="M276" s="2801">
        <f t="shared" ref="M276" si="309">+M277+M280</f>
        <v>0</v>
      </c>
      <c r="N276" s="2801">
        <f t="shared" si="308"/>
        <v>0</v>
      </c>
      <c r="O276" s="2801">
        <f t="shared" si="308"/>
        <v>0</v>
      </c>
      <c r="P276" s="2800">
        <f t="shared" si="308"/>
        <v>3900000</v>
      </c>
      <c r="Q276" s="2800">
        <f t="shared" ref="Q276:R276" si="310">+Q277+Q280</f>
        <v>1260000</v>
      </c>
      <c r="R276" s="2800">
        <f t="shared" si="310"/>
        <v>4984499</v>
      </c>
      <c r="S276" s="2800"/>
      <c r="T276" s="2800"/>
      <c r="U276" s="2800"/>
      <c r="V276" s="2800"/>
      <c r="W276" s="2800"/>
      <c r="X276" s="1798">
        <f>X277+X280</f>
        <v>10144499</v>
      </c>
      <c r="Y276" s="3898"/>
      <c r="Z276" s="1056"/>
    </row>
    <row r="277" spans="1:26" ht="13.5" customHeight="1">
      <c r="A277" s="4103"/>
      <c r="B277" s="2288" t="s">
        <v>36</v>
      </c>
      <c r="C277" s="4108" t="s">
        <v>101</v>
      </c>
      <c r="D277" s="1368">
        <f>+D278+D279</f>
        <v>8244409</v>
      </c>
      <c r="E277" s="1368">
        <f t="shared" ref="E277:J277" si="311">+E278+E279</f>
        <v>0</v>
      </c>
      <c r="F277" s="1368">
        <f t="shared" si="311"/>
        <v>0</v>
      </c>
      <c r="G277" s="1368">
        <f t="shared" si="311"/>
        <v>0</v>
      </c>
      <c r="H277" s="1368">
        <f t="shared" si="311"/>
        <v>0</v>
      </c>
      <c r="I277" s="1368">
        <f t="shared" si="311"/>
        <v>0</v>
      </c>
      <c r="J277" s="1368">
        <f t="shared" si="311"/>
        <v>0</v>
      </c>
      <c r="K277" s="1368">
        <f t="shared" ref="K277:R277" si="312">+K278</f>
        <v>0</v>
      </c>
      <c r="L277" s="2802">
        <f t="shared" si="312"/>
        <v>0</v>
      </c>
      <c r="M277" s="2803">
        <f t="shared" si="312"/>
        <v>0</v>
      </c>
      <c r="N277" s="2803">
        <f t="shared" si="312"/>
        <v>0</v>
      </c>
      <c r="O277" s="2804">
        <f t="shared" si="312"/>
        <v>0</v>
      </c>
      <c r="P277" s="1368">
        <f t="shared" si="312"/>
        <v>1999910</v>
      </c>
      <c r="Q277" s="1368">
        <f t="shared" si="312"/>
        <v>1260000</v>
      </c>
      <c r="R277" s="1368">
        <f t="shared" si="312"/>
        <v>4984499</v>
      </c>
      <c r="S277" s="1368"/>
      <c r="T277" s="1368"/>
      <c r="U277" s="1955"/>
      <c r="V277" s="1955"/>
      <c r="W277" s="1955"/>
      <c r="X277" s="1815">
        <f>X278</f>
        <v>8244409</v>
      </c>
      <c r="Y277" s="3898"/>
      <c r="Z277" s="1056"/>
    </row>
    <row r="278" spans="1:26" ht="12" customHeight="1">
      <c r="A278" s="4103"/>
      <c r="B278" s="2805" t="s">
        <v>24</v>
      </c>
      <c r="C278" s="4109"/>
      <c r="D278" s="1958">
        <f t="shared" ref="D278" si="313">M278+O278+P278+Q278+R278+S278+T278+U278+V278+W278</f>
        <v>8244409</v>
      </c>
      <c r="E278" s="1820"/>
      <c r="F278" s="1959">
        <v>0</v>
      </c>
      <c r="G278" s="1820"/>
      <c r="H278" s="1820"/>
      <c r="I278" s="1820"/>
      <c r="J278" s="1820"/>
      <c r="K278" s="1820"/>
      <c r="L278" s="1820"/>
      <c r="M278" s="1961">
        <f>+E278+I278+J278+K278+L278+N278</f>
        <v>0</v>
      </c>
      <c r="N278" s="1962">
        <f>161080-161080</f>
        <v>0</v>
      </c>
      <c r="O278" s="1962">
        <v>0</v>
      </c>
      <c r="P278" s="1959">
        <f>2385310-385400</f>
        <v>1999910</v>
      </c>
      <c r="Q278" s="1959">
        <f>3200000-1940000</f>
        <v>1260000</v>
      </c>
      <c r="R278" s="1959">
        <v>4984499</v>
      </c>
      <c r="S278" s="1959"/>
      <c r="T278" s="1959"/>
      <c r="U278" s="1959"/>
      <c r="V278" s="1959"/>
      <c r="W278" s="1959"/>
      <c r="X278" s="1963">
        <f>SUM(P278:T278)</f>
        <v>8244409</v>
      </c>
      <c r="Y278" s="3898"/>
    </row>
    <row r="279" spans="1:26" hidden="1">
      <c r="A279" s="4103"/>
      <c r="B279" s="2806" t="s">
        <v>27</v>
      </c>
      <c r="C279" s="4109"/>
      <c r="D279" s="1817">
        <f>+E279+I279+J279+K279+L279</f>
        <v>0</v>
      </c>
      <c r="E279" s="1820">
        <v>0</v>
      </c>
      <c r="F279" s="1818"/>
      <c r="G279" s="1818"/>
      <c r="H279" s="2807"/>
      <c r="I279" s="2807"/>
      <c r="J279" s="2807"/>
      <c r="K279" s="1818">
        <v>0</v>
      </c>
      <c r="L279" s="1818">
        <v>0</v>
      </c>
      <c r="M279" s="2808">
        <v>0</v>
      </c>
      <c r="N279" s="2808">
        <v>0</v>
      </c>
      <c r="O279" s="2808">
        <v>0</v>
      </c>
      <c r="P279" s="1818">
        <v>0</v>
      </c>
      <c r="Q279" s="1818"/>
      <c r="R279" s="1818"/>
      <c r="S279" s="1818"/>
      <c r="T279" s="1818"/>
      <c r="U279" s="2809"/>
      <c r="V279" s="2809"/>
      <c r="W279" s="2809"/>
      <c r="X279" s="2810"/>
      <c r="Y279" s="3898"/>
    </row>
    <row r="280" spans="1:26" ht="13.5" customHeight="1">
      <c r="A280" s="4103"/>
      <c r="B280" s="2737" t="s">
        <v>30</v>
      </c>
      <c r="C280" s="4109"/>
      <c r="D280" s="1811">
        <f>+D281</f>
        <v>1900090</v>
      </c>
      <c r="E280" s="1812">
        <f t="shared" ref="E280:R280" si="314">+E281</f>
        <v>0</v>
      </c>
      <c r="F280" s="1812">
        <f t="shared" si="314"/>
        <v>0</v>
      </c>
      <c r="G280" s="1812">
        <f t="shared" si="314"/>
        <v>0</v>
      </c>
      <c r="H280" s="1812">
        <f t="shared" si="314"/>
        <v>0</v>
      </c>
      <c r="I280" s="1812">
        <f t="shared" si="314"/>
        <v>0</v>
      </c>
      <c r="J280" s="1812">
        <f t="shared" si="314"/>
        <v>0</v>
      </c>
      <c r="K280" s="1812">
        <f t="shared" si="314"/>
        <v>0</v>
      </c>
      <c r="L280" s="1812">
        <f t="shared" si="314"/>
        <v>0</v>
      </c>
      <c r="M280" s="2811">
        <f t="shared" si="314"/>
        <v>0</v>
      </c>
      <c r="N280" s="2811">
        <f t="shared" si="314"/>
        <v>0</v>
      </c>
      <c r="O280" s="2811">
        <f t="shared" si="314"/>
        <v>0</v>
      </c>
      <c r="P280" s="1812">
        <f t="shared" si="314"/>
        <v>1900090</v>
      </c>
      <c r="Q280" s="2811">
        <f t="shared" si="314"/>
        <v>0</v>
      </c>
      <c r="R280" s="2811">
        <f t="shared" si="314"/>
        <v>0</v>
      </c>
      <c r="S280" s="1812"/>
      <c r="T280" s="1812"/>
      <c r="U280" s="1811"/>
      <c r="V280" s="1811"/>
      <c r="W280" s="1811"/>
      <c r="X280" s="1815">
        <f>X281</f>
        <v>1900090</v>
      </c>
      <c r="Y280" s="3898"/>
    </row>
    <row r="281" spans="1:26">
      <c r="A281" s="4103"/>
      <c r="B281" s="2426" t="s">
        <v>33</v>
      </c>
      <c r="C281" s="4157"/>
      <c r="D281" s="2812">
        <f t="shared" ref="D281" si="315">M281+O281+P281+Q281+R281+S281+T281+U281+V281+W281</f>
        <v>1900090</v>
      </c>
      <c r="E281" s="1820">
        <f>+F281+G281+H281</f>
        <v>0</v>
      </c>
      <c r="F281" s="1959">
        <v>0</v>
      </c>
      <c r="G281" s="1820"/>
      <c r="H281" s="1820"/>
      <c r="I281" s="1820"/>
      <c r="J281" s="1820"/>
      <c r="K281" s="1820"/>
      <c r="L281" s="1820">
        <v>0</v>
      </c>
      <c r="M281" s="1961">
        <f>+E281+I281+J281+K281+L281+N281</f>
        <v>0</v>
      </c>
      <c r="N281" s="1962">
        <v>0</v>
      </c>
      <c r="O281" s="1962">
        <v>0</v>
      </c>
      <c r="P281" s="1959">
        <v>1900090</v>
      </c>
      <c r="Q281" s="1962">
        <v>0</v>
      </c>
      <c r="R281" s="1962">
        <v>0</v>
      </c>
      <c r="S281" s="1959"/>
      <c r="T281" s="1959"/>
      <c r="U281" s="1959"/>
      <c r="V281" s="1959"/>
      <c r="W281" s="1959"/>
      <c r="X281" s="1963">
        <f>SUM(P281:T281)</f>
        <v>1900090</v>
      </c>
      <c r="Y281" s="4173"/>
    </row>
    <row r="282" spans="1:26" ht="12" customHeight="1">
      <c r="A282" s="4104"/>
      <c r="B282" s="1795" t="s">
        <v>34</v>
      </c>
      <c r="C282" s="1914"/>
      <c r="D282" s="2813">
        <f>+D285+D283</f>
        <v>1900090</v>
      </c>
      <c r="E282" s="2813">
        <f t="shared" ref="E282:J282" si="316">+E285+E283</f>
        <v>0</v>
      </c>
      <c r="F282" s="2813">
        <f t="shared" si="316"/>
        <v>0</v>
      </c>
      <c r="G282" s="2813">
        <f t="shared" si="316"/>
        <v>0</v>
      </c>
      <c r="H282" s="2813">
        <f t="shared" si="316"/>
        <v>0</v>
      </c>
      <c r="I282" s="2813">
        <f t="shared" si="316"/>
        <v>0</v>
      </c>
      <c r="J282" s="2813">
        <f t="shared" si="316"/>
        <v>0</v>
      </c>
      <c r="K282" s="2813">
        <f t="shared" ref="K282:Q282" si="317">+K285+K283</f>
        <v>0</v>
      </c>
      <c r="L282" s="2813">
        <f t="shared" si="317"/>
        <v>0</v>
      </c>
      <c r="M282" s="2814">
        <f t="shared" si="317"/>
        <v>0</v>
      </c>
      <c r="N282" s="2814">
        <f t="shared" si="317"/>
        <v>0</v>
      </c>
      <c r="O282" s="2814">
        <f t="shared" si="317"/>
        <v>0</v>
      </c>
      <c r="P282" s="2814">
        <f t="shared" si="317"/>
        <v>0</v>
      </c>
      <c r="Q282" s="2813">
        <f t="shared" si="317"/>
        <v>1900090</v>
      </c>
      <c r="R282" s="2813"/>
      <c r="S282" s="2813"/>
      <c r="T282" s="2813"/>
      <c r="U282" s="2813"/>
      <c r="V282" s="2813"/>
      <c r="W282" s="2813"/>
      <c r="X282" s="4005" t="s">
        <v>35</v>
      </c>
      <c r="Y282" s="4170" t="s">
        <v>123</v>
      </c>
    </row>
    <row r="283" spans="1:26" s="1066" customFormat="1" ht="13.5" hidden="1" customHeight="1">
      <c r="A283" s="4104"/>
      <c r="B283" s="1349" t="s">
        <v>36</v>
      </c>
      <c r="C283" s="4108" t="s">
        <v>401</v>
      </c>
      <c r="D283" s="2815">
        <f>+D284</f>
        <v>0</v>
      </c>
      <c r="E283" s="2815">
        <f t="shared" ref="E283:P283" si="318">+E284</f>
        <v>0</v>
      </c>
      <c r="F283" s="2815">
        <f t="shared" si="318"/>
        <v>0</v>
      </c>
      <c r="G283" s="2815">
        <f t="shared" si="318"/>
        <v>0</v>
      </c>
      <c r="H283" s="2815">
        <f t="shared" si="318"/>
        <v>0</v>
      </c>
      <c r="I283" s="2815">
        <f t="shared" si="318"/>
        <v>0</v>
      </c>
      <c r="J283" s="2815">
        <f t="shared" si="318"/>
        <v>0</v>
      </c>
      <c r="K283" s="2815">
        <f t="shared" si="318"/>
        <v>0</v>
      </c>
      <c r="L283" s="2815">
        <f t="shared" si="318"/>
        <v>0</v>
      </c>
      <c r="M283" s="2816">
        <f t="shared" si="318"/>
        <v>0</v>
      </c>
      <c r="N283" s="2816">
        <f t="shared" si="318"/>
        <v>0</v>
      </c>
      <c r="O283" s="2816">
        <f t="shared" si="318"/>
        <v>0</v>
      </c>
      <c r="P283" s="2816">
        <f t="shared" si="318"/>
        <v>0</v>
      </c>
      <c r="Q283" s="2815"/>
      <c r="R283" s="2815"/>
      <c r="S283" s="2815"/>
      <c r="T283" s="2815"/>
      <c r="U283" s="2815"/>
      <c r="V283" s="2815"/>
      <c r="W283" s="2815"/>
      <c r="X283" s="4006"/>
      <c r="Y283" s="4171"/>
    </row>
    <row r="284" spans="1:26" ht="12.75" hidden="1" customHeight="1">
      <c r="A284" s="4104"/>
      <c r="B284" s="2806" t="s">
        <v>27</v>
      </c>
      <c r="C284" s="4152"/>
      <c r="D284" s="1817">
        <f>+E284+I284+J284+K284+L284+N284+O284</f>
        <v>0</v>
      </c>
      <c r="E284" s="2817">
        <f>+F284+G284+H284</f>
        <v>0</v>
      </c>
      <c r="F284" s="2817">
        <v>0</v>
      </c>
      <c r="G284" s="2817">
        <v>0</v>
      </c>
      <c r="H284" s="2817">
        <v>0</v>
      </c>
      <c r="I284" s="2817"/>
      <c r="J284" s="2817"/>
      <c r="K284" s="2817">
        <v>0</v>
      </c>
      <c r="L284" s="2817">
        <v>0</v>
      </c>
      <c r="M284" s="2818">
        <v>0</v>
      </c>
      <c r="N284" s="2818">
        <v>0</v>
      </c>
      <c r="O284" s="2818">
        <v>0</v>
      </c>
      <c r="P284" s="2818">
        <v>0</v>
      </c>
      <c r="Q284" s="2817"/>
      <c r="R284" s="2817"/>
      <c r="S284" s="2817"/>
      <c r="T284" s="2817"/>
      <c r="U284" s="2817"/>
      <c r="V284" s="2817"/>
      <c r="W284" s="2817"/>
      <c r="X284" s="4006"/>
      <c r="Y284" s="4171"/>
    </row>
    <row r="285" spans="1:26" ht="12" customHeight="1">
      <c r="A285" s="4104"/>
      <c r="B285" s="2737" t="s">
        <v>30</v>
      </c>
      <c r="C285" s="4152"/>
      <c r="D285" s="1811">
        <f t="shared" ref="D285:Q285" si="319">+D286</f>
        <v>1900090</v>
      </c>
      <c r="E285" s="1812">
        <f t="shared" si="319"/>
        <v>0</v>
      </c>
      <c r="F285" s="1812">
        <f t="shared" si="319"/>
        <v>0</v>
      </c>
      <c r="G285" s="1812">
        <f t="shared" si="319"/>
        <v>0</v>
      </c>
      <c r="H285" s="1812">
        <f t="shared" si="319"/>
        <v>0</v>
      </c>
      <c r="I285" s="1812">
        <f t="shared" si="319"/>
        <v>0</v>
      </c>
      <c r="J285" s="1812">
        <f t="shared" si="319"/>
        <v>0</v>
      </c>
      <c r="K285" s="1812">
        <f t="shared" si="319"/>
        <v>0</v>
      </c>
      <c r="L285" s="1812">
        <f t="shared" si="319"/>
        <v>0</v>
      </c>
      <c r="M285" s="2811">
        <f t="shared" si="319"/>
        <v>0</v>
      </c>
      <c r="N285" s="2811">
        <f t="shared" si="319"/>
        <v>0</v>
      </c>
      <c r="O285" s="2811">
        <f t="shared" si="319"/>
        <v>0</v>
      </c>
      <c r="P285" s="2811">
        <f t="shared" si="319"/>
        <v>0</v>
      </c>
      <c r="Q285" s="1812">
        <f t="shared" si="319"/>
        <v>1900090</v>
      </c>
      <c r="R285" s="1812"/>
      <c r="S285" s="1812"/>
      <c r="T285" s="1812"/>
      <c r="U285" s="1812"/>
      <c r="V285" s="1812"/>
      <c r="W285" s="1812"/>
      <c r="X285" s="4006"/>
      <c r="Y285" s="4171"/>
    </row>
    <row r="286" spans="1:26" ht="13.5" customHeight="1" thickBot="1">
      <c r="A286" s="4105"/>
      <c r="B286" s="2819" t="s">
        <v>33</v>
      </c>
      <c r="C286" s="4153"/>
      <c r="D286" s="1958">
        <f t="shared" ref="D286" si="320">M286+O286+P286+Q286+R286+S286+T286+U286+V286+W286</f>
        <v>1900090</v>
      </c>
      <c r="E286" s="1825">
        <f>+F286+G286+H286</f>
        <v>0</v>
      </c>
      <c r="F286" s="1826">
        <v>0</v>
      </c>
      <c r="G286" s="1825">
        <v>0</v>
      </c>
      <c r="H286" s="1825">
        <v>0</v>
      </c>
      <c r="I286" s="1825">
        <f>2300000-2300000</f>
        <v>0</v>
      </c>
      <c r="J286" s="1825"/>
      <c r="K286" s="1825"/>
      <c r="L286" s="1825"/>
      <c r="M286" s="1961">
        <f>+E286+I286+J286+K286+L286+N286</f>
        <v>0</v>
      </c>
      <c r="N286" s="2820">
        <v>0</v>
      </c>
      <c r="O286" s="2820">
        <v>0</v>
      </c>
      <c r="P286" s="2820">
        <v>0</v>
      </c>
      <c r="Q286" s="2821">
        <v>1900090</v>
      </c>
      <c r="R286" s="2821"/>
      <c r="S286" s="2821"/>
      <c r="T286" s="1825"/>
      <c r="U286" s="1825"/>
      <c r="V286" s="1825"/>
      <c r="W286" s="1825"/>
      <c r="X286" s="4007"/>
      <c r="Y286" s="4172"/>
    </row>
    <row r="287" spans="1:26" ht="24" customHeight="1">
      <c r="A287" s="4102" t="s">
        <v>120</v>
      </c>
      <c r="B287" s="2270" t="s">
        <v>549</v>
      </c>
      <c r="C287" s="1945" t="s">
        <v>98</v>
      </c>
      <c r="D287" s="2283"/>
      <c r="E287" s="2284"/>
      <c r="F287" s="2283"/>
      <c r="G287" s="2285"/>
      <c r="H287" s="2285"/>
      <c r="I287" s="2286"/>
      <c r="J287" s="2286"/>
      <c r="K287" s="2286"/>
      <c r="L287" s="2286"/>
      <c r="M287" s="2287"/>
      <c r="N287" s="2287"/>
      <c r="O287" s="2287"/>
      <c r="P287" s="2287"/>
      <c r="Q287" s="2287"/>
      <c r="R287" s="2287"/>
      <c r="S287" s="2287"/>
      <c r="T287" s="2287"/>
      <c r="U287" s="2287"/>
      <c r="V287" s="2287"/>
      <c r="W287" s="2287"/>
      <c r="X287" s="446"/>
      <c r="Y287" s="4151" t="s">
        <v>123</v>
      </c>
    </row>
    <row r="288" spans="1:26" ht="11.25" customHeight="1">
      <c r="A288" s="4103"/>
      <c r="B288" s="3180" t="s">
        <v>22</v>
      </c>
      <c r="C288" s="1796"/>
      <c r="D288" s="3202">
        <f>+D289+D292</f>
        <v>36435000</v>
      </c>
      <c r="E288" s="3202">
        <f>+E289+E292</f>
        <v>0</v>
      </c>
      <c r="F288" s="3202">
        <f t="shared" ref="F288:O288" si="321">+F289+F292</f>
        <v>0</v>
      </c>
      <c r="G288" s="3202">
        <f t="shared" si="321"/>
        <v>0</v>
      </c>
      <c r="H288" s="3202">
        <f t="shared" si="321"/>
        <v>0</v>
      </c>
      <c r="I288" s="3202">
        <f t="shared" si="321"/>
        <v>0</v>
      </c>
      <c r="J288" s="3202">
        <f t="shared" si="321"/>
        <v>0</v>
      </c>
      <c r="K288" s="3202">
        <f t="shared" si="321"/>
        <v>0</v>
      </c>
      <c r="L288" s="3202">
        <f t="shared" si="321"/>
        <v>0</v>
      </c>
      <c r="M288" s="3202">
        <f t="shared" ref="M288" si="322">+M289+M292</f>
        <v>5000000</v>
      </c>
      <c r="N288" s="3202">
        <f t="shared" si="321"/>
        <v>5000000</v>
      </c>
      <c r="O288" s="3203">
        <f t="shared" si="321"/>
        <v>0</v>
      </c>
      <c r="P288" s="3202">
        <f>+P289+P292</f>
        <v>31435000</v>
      </c>
      <c r="Q288" s="3202"/>
      <c r="R288" s="3202"/>
      <c r="S288" s="3202"/>
      <c r="T288" s="3202"/>
      <c r="U288" s="3202"/>
      <c r="V288" s="3202"/>
      <c r="W288" s="3202"/>
      <c r="X288" s="2363">
        <f>X289+X292</f>
        <v>31435000</v>
      </c>
      <c r="Y288" s="4124"/>
      <c r="Z288" s="1056"/>
    </row>
    <row r="289" spans="1:26" ht="13.5" customHeight="1">
      <c r="A289" s="4103"/>
      <c r="B289" s="3181" t="s">
        <v>36</v>
      </c>
      <c r="C289" s="4150" t="s">
        <v>119</v>
      </c>
      <c r="D289" s="2281">
        <f>+D290+D291</f>
        <v>5465250</v>
      </c>
      <c r="E289" s="2281">
        <f t="shared" ref="E289:P289" si="323">+E290+E291</f>
        <v>0</v>
      </c>
      <c r="F289" s="2281">
        <f t="shared" si="323"/>
        <v>0</v>
      </c>
      <c r="G289" s="2281">
        <f t="shared" si="323"/>
        <v>0</v>
      </c>
      <c r="H289" s="2281">
        <f t="shared" si="323"/>
        <v>0</v>
      </c>
      <c r="I289" s="2281">
        <f t="shared" si="323"/>
        <v>0</v>
      </c>
      <c r="J289" s="2281">
        <f t="shared" si="323"/>
        <v>0</v>
      </c>
      <c r="K289" s="2281">
        <f t="shared" si="323"/>
        <v>0</v>
      </c>
      <c r="L289" s="2281">
        <f t="shared" si="323"/>
        <v>0</v>
      </c>
      <c r="M289" s="2281">
        <f t="shared" si="323"/>
        <v>750000</v>
      </c>
      <c r="N289" s="2281">
        <f t="shared" si="323"/>
        <v>750000</v>
      </c>
      <c r="O289" s="2293">
        <f t="shared" si="323"/>
        <v>0</v>
      </c>
      <c r="P289" s="2281">
        <f t="shared" si="323"/>
        <v>4715250</v>
      </c>
      <c r="Q289" s="2281"/>
      <c r="R289" s="2281"/>
      <c r="S289" s="2281"/>
      <c r="T289" s="2281"/>
      <c r="U289" s="2281"/>
      <c r="V289" s="2281"/>
      <c r="W289" s="2281"/>
      <c r="X289" s="3165">
        <f t="shared" ref="X289" si="324">+X290+X291</f>
        <v>4715250</v>
      </c>
      <c r="Y289" s="4124"/>
      <c r="Z289" s="1056"/>
    </row>
    <row r="290" spans="1:26" ht="11.25" customHeight="1">
      <c r="A290" s="4103"/>
      <c r="B290" s="3184" t="s">
        <v>24</v>
      </c>
      <c r="C290" s="4109"/>
      <c r="D290" s="3152">
        <f t="shared" ref="D290:D291" si="325">M290+O290+P290+Q290+R290+S290+T290+U290+V290+W290</f>
        <v>750000</v>
      </c>
      <c r="E290" s="2388">
        <f>+F290+G290+H290</f>
        <v>0</v>
      </c>
      <c r="F290" s="3153">
        <v>0</v>
      </c>
      <c r="G290" s="2388">
        <v>0</v>
      </c>
      <c r="H290" s="2388">
        <v>0</v>
      </c>
      <c r="I290" s="2389">
        <f>184163-184163</f>
        <v>0</v>
      </c>
      <c r="J290" s="2389"/>
      <c r="K290" s="2389"/>
      <c r="L290" s="2389"/>
      <c r="M290" s="3155">
        <f>+E290+I290+J290+K290+L290+N290</f>
        <v>750000</v>
      </c>
      <c r="N290" s="2389">
        <v>750000</v>
      </c>
      <c r="O290" s="3204">
        <v>0</v>
      </c>
      <c r="P290" s="3205">
        <v>0</v>
      </c>
      <c r="Q290" s="3205"/>
      <c r="R290" s="3205"/>
      <c r="S290" s="3205"/>
      <c r="T290" s="3205"/>
      <c r="U290" s="3205"/>
      <c r="V290" s="3205"/>
      <c r="W290" s="3205"/>
      <c r="X290" s="3206">
        <f>SUM(P290:T290)</f>
        <v>0</v>
      </c>
      <c r="Y290" s="4124"/>
    </row>
    <row r="291" spans="1:26" ht="11.25" customHeight="1">
      <c r="A291" s="4103"/>
      <c r="B291" s="2290" t="s">
        <v>127</v>
      </c>
      <c r="C291" s="4109"/>
      <c r="D291" s="3152">
        <f t="shared" si="325"/>
        <v>4715250</v>
      </c>
      <c r="E291" s="3153"/>
      <c r="F291" s="3153"/>
      <c r="G291" s="3153"/>
      <c r="H291" s="3153"/>
      <c r="I291" s="3154"/>
      <c r="J291" s="3154"/>
      <c r="K291" s="3154"/>
      <c r="L291" s="3154"/>
      <c r="M291" s="3207">
        <f>+E291+I291+J291+K291+L291+N291</f>
        <v>0</v>
      </c>
      <c r="N291" s="3154"/>
      <c r="O291" s="3208">
        <v>0</v>
      </c>
      <c r="P291" s="3153">
        <v>4715250</v>
      </c>
      <c r="Q291" s="3153"/>
      <c r="R291" s="3153"/>
      <c r="S291" s="3153"/>
      <c r="T291" s="3153"/>
      <c r="U291" s="3153"/>
      <c r="V291" s="3153"/>
      <c r="W291" s="3153"/>
      <c r="X291" s="3170">
        <f>SUM(P291:T291)</f>
        <v>4715250</v>
      </c>
      <c r="Y291" s="4124"/>
    </row>
    <row r="292" spans="1:26" ht="12.75" customHeight="1">
      <c r="A292" s="4103"/>
      <c r="B292" s="1851" t="s">
        <v>30</v>
      </c>
      <c r="C292" s="4109"/>
      <c r="D292" s="3190">
        <f>+D293</f>
        <v>30969750</v>
      </c>
      <c r="E292" s="3190">
        <f t="shared" ref="E292:P292" si="326">+E293</f>
        <v>0</v>
      </c>
      <c r="F292" s="3190">
        <f t="shared" si="326"/>
        <v>0</v>
      </c>
      <c r="G292" s="3190">
        <f t="shared" si="326"/>
        <v>0</v>
      </c>
      <c r="H292" s="3190">
        <f t="shared" si="326"/>
        <v>0</v>
      </c>
      <c r="I292" s="3190">
        <f t="shared" si="326"/>
        <v>0</v>
      </c>
      <c r="J292" s="3190">
        <f t="shared" si="326"/>
        <v>0</v>
      </c>
      <c r="K292" s="3190">
        <f t="shared" si="326"/>
        <v>0</v>
      </c>
      <c r="L292" s="3190">
        <f t="shared" si="326"/>
        <v>0</v>
      </c>
      <c r="M292" s="3190">
        <f t="shared" si="326"/>
        <v>4250000</v>
      </c>
      <c r="N292" s="3190">
        <f t="shared" si="326"/>
        <v>4250000</v>
      </c>
      <c r="O292" s="3209">
        <f t="shared" si="326"/>
        <v>0</v>
      </c>
      <c r="P292" s="3190">
        <f t="shared" si="326"/>
        <v>26719750</v>
      </c>
      <c r="Q292" s="3190"/>
      <c r="R292" s="3190"/>
      <c r="S292" s="3190"/>
      <c r="T292" s="3190"/>
      <c r="U292" s="3190"/>
      <c r="V292" s="3190"/>
      <c r="W292" s="3190"/>
      <c r="X292" s="3165">
        <f>X293</f>
        <v>26719750</v>
      </c>
      <c r="Y292" s="4124"/>
    </row>
    <row r="293" spans="1:26" ht="11.25" customHeight="1">
      <c r="A293" s="4103"/>
      <c r="B293" s="3210" t="s">
        <v>33</v>
      </c>
      <c r="C293" s="4109"/>
      <c r="D293" s="3152">
        <f t="shared" ref="D293" si="327">M293+O293+P293+Q293+R293+S293+T293+U293+V293+W293</f>
        <v>30969750</v>
      </c>
      <c r="E293" s="2388">
        <f>+F293+G293+H293</f>
        <v>0</v>
      </c>
      <c r="F293" s="3153">
        <v>0</v>
      </c>
      <c r="G293" s="2388">
        <v>0</v>
      </c>
      <c r="H293" s="2388">
        <v>0</v>
      </c>
      <c r="I293" s="2389">
        <f>225757-225757</f>
        <v>0</v>
      </c>
      <c r="J293" s="2389"/>
      <c r="K293" s="2389"/>
      <c r="L293" s="2388"/>
      <c r="M293" s="3155">
        <f>+E293+I293+J293+K293+L293+N293</f>
        <v>4250000</v>
      </c>
      <c r="N293" s="2388">
        <v>4250000</v>
      </c>
      <c r="O293" s="3211">
        <v>0</v>
      </c>
      <c r="P293" s="3153">
        <v>26719750</v>
      </c>
      <c r="Q293" s="3153"/>
      <c r="R293" s="3153"/>
      <c r="S293" s="3153"/>
      <c r="T293" s="3153"/>
      <c r="U293" s="3153"/>
      <c r="V293" s="3153"/>
      <c r="W293" s="3153"/>
      <c r="X293" s="3170">
        <f t="shared" ref="X293" si="328">SUM(P293:T293)</f>
        <v>26719750</v>
      </c>
      <c r="Y293" s="4124"/>
    </row>
    <row r="294" spans="1:26" s="1230" customFormat="1" ht="12.75" customHeight="1">
      <c r="A294" s="4104"/>
      <c r="B294" s="1822" t="s">
        <v>34</v>
      </c>
      <c r="C294" s="1796"/>
      <c r="D294" s="3212">
        <f>+D297+D295</f>
        <v>35685000</v>
      </c>
      <c r="E294" s="3212">
        <f t="shared" ref="E294:P294" si="329">+E297+E295</f>
        <v>0</v>
      </c>
      <c r="F294" s="3212">
        <f t="shared" si="329"/>
        <v>0</v>
      </c>
      <c r="G294" s="3212">
        <f t="shared" si="329"/>
        <v>0</v>
      </c>
      <c r="H294" s="3212">
        <f t="shared" si="329"/>
        <v>0</v>
      </c>
      <c r="I294" s="3212">
        <f t="shared" si="329"/>
        <v>0</v>
      </c>
      <c r="J294" s="3212">
        <f t="shared" si="329"/>
        <v>0</v>
      </c>
      <c r="K294" s="3212">
        <f t="shared" si="329"/>
        <v>0</v>
      </c>
      <c r="L294" s="3212">
        <f t="shared" si="329"/>
        <v>0</v>
      </c>
      <c r="M294" s="3212">
        <f t="shared" si="329"/>
        <v>4715250</v>
      </c>
      <c r="N294" s="3212">
        <f t="shared" si="329"/>
        <v>4715250</v>
      </c>
      <c r="O294" s="3213">
        <f t="shared" si="329"/>
        <v>0</v>
      </c>
      <c r="P294" s="3212">
        <f t="shared" si="329"/>
        <v>30969750</v>
      </c>
      <c r="Q294" s="3212"/>
      <c r="R294" s="3212"/>
      <c r="S294" s="3212"/>
      <c r="T294" s="3212"/>
      <c r="U294" s="3212"/>
      <c r="V294" s="3212"/>
      <c r="W294" s="3212"/>
      <c r="X294" s="4011" t="s">
        <v>35</v>
      </c>
      <c r="Y294" s="4124"/>
    </row>
    <row r="295" spans="1:26" s="1230" customFormat="1" ht="12.75" customHeight="1">
      <c r="A295" s="4104"/>
      <c r="B295" s="3181" t="s">
        <v>36</v>
      </c>
      <c r="C295" s="4150" t="s">
        <v>401</v>
      </c>
      <c r="D295" s="3214">
        <f>D296</f>
        <v>4715250</v>
      </c>
      <c r="E295" s="3214">
        <f t="shared" ref="E295:P295" si="330">E296</f>
        <v>0</v>
      </c>
      <c r="F295" s="3214">
        <f t="shared" si="330"/>
        <v>0</v>
      </c>
      <c r="G295" s="3214">
        <f t="shared" si="330"/>
        <v>0</v>
      </c>
      <c r="H295" s="3214">
        <f t="shared" si="330"/>
        <v>0</v>
      </c>
      <c r="I295" s="3214">
        <f t="shared" si="330"/>
        <v>0</v>
      </c>
      <c r="J295" s="3214">
        <f t="shared" si="330"/>
        <v>0</v>
      </c>
      <c r="K295" s="3214">
        <f t="shared" si="330"/>
        <v>0</v>
      </c>
      <c r="L295" s="3214">
        <f t="shared" si="330"/>
        <v>0</v>
      </c>
      <c r="M295" s="3214">
        <f t="shared" si="330"/>
        <v>4715250</v>
      </c>
      <c r="N295" s="3214">
        <f t="shared" si="330"/>
        <v>4715250</v>
      </c>
      <c r="O295" s="3215">
        <f t="shared" si="330"/>
        <v>0</v>
      </c>
      <c r="P295" s="3214">
        <f t="shared" si="330"/>
        <v>0</v>
      </c>
      <c r="Q295" s="3214"/>
      <c r="R295" s="3214"/>
      <c r="S295" s="3214"/>
      <c r="T295" s="3214"/>
      <c r="U295" s="3214"/>
      <c r="V295" s="3214"/>
      <c r="W295" s="3214"/>
      <c r="X295" s="4009"/>
      <c r="Y295" s="4124"/>
    </row>
    <row r="296" spans="1:26" s="1230" customFormat="1" ht="12.75" customHeight="1">
      <c r="A296" s="4104"/>
      <c r="B296" s="2290" t="s">
        <v>127</v>
      </c>
      <c r="C296" s="4152"/>
      <c r="D296" s="3152">
        <f t="shared" ref="D296" si="331">M296+O296+P296+Q296+R296+S296+T296+U296+V296+W296</f>
        <v>4715250</v>
      </c>
      <c r="E296" s="3214"/>
      <c r="F296" s="3214"/>
      <c r="G296" s="3214"/>
      <c r="H296" s="3214"/>
      <c r="I296" s="3214"/>
      <c r="J296" s="3214"/>
      <c r="K296" s="3214"/>
      <c r="L296" s="3214"/>
      <c r="M296" s="3155">
        <f>+E296+I296+J296+K296+L296+N296</f>
        <v>4715250</v>
      </c>
      <c r="N296" s="3216">
        <v>4715250</v>
      </c>
      <c r="O296" s="3215">
        <v>0</v>
      </c>
      <c r="P296" s="3214">
        <v>0</v>
      </c>
      <c r="Q296" s="3214"/>
      <c r="R296" s="3214"/>
      <c r="S296" s="3214"/>
      <c r="T296" s="3214"/>
      <c r="U296" s="3214"/>
      <c r="V296" s="3214"/>
      <c r="W296" s="3214"/>
      <c r="X296" s="4009"/>
      <c r="Y296" s="4124"/>
    </row>
    <row r="297" spans="1:26" s="1232" customFormat="1" ht="12.75" customHeight="1">
      <c r="A297" s="4104"/>
      <c r="B297" s="1851" t="s">
        <v>30</v>
      </c>
      <c r="C297" s="4152"/>
      <c r="D297" s="3217">
        <f>+D298</f>
        <v>30969750</v>
      </c>
      <c r="E297" s="3218">
        <f t="shared" ref="E297:P297" si="332">+E298</f>
        <v>0</v>
      </c>
      <c r="F297" s="3218">
        <f t="shared" si="332"/>
        <v>0</v>
      </c>
      <c r="G297" s="3218">
        <f t="shared" si="332"/>
        <v>0</v>
      </c>
      <c r="H297" s="3218">
        <f t="shared" si="332"/>
        <v>0</v>
      </c>
      <c r="I297" s="3218">
        <f t="shared" si="332"/>
        <v>0</v>
      </c>
      <c r="J297" s="3218">
        <f t="shared" si="332"/>
        <v>0</v>
      </c>
      <c r="K297" s="3218">
        <f t="shared" si="332"/>
        <v>0</v>
      </c>
      <c r="L297" s="3217">
        <f t="shared" si="332"/>
        <v>0</v>
      </c>
      <c r="M297" s="3219">
        <f t="shared" si="332"/>
        <v>0</v>
      </c>
      <c r="N297" s="3217">
        <f t="shared" si="332"/>
        <v>0</v>
      </c>
      <c r="O297" s="3219">
        <f t="shared" si="332"/>
        <v>0</v>
      </c>
      <c r="P297" s="3218">
        <f t="shared" si="332"/>
        <v>30969750</v>
      </c>
      <c r="Q297" s="3218"/>
      <c r="R297" s="3218"/>
      <c r="S297" s="3218"/>
      <c r="T297" s="3218"/>
      <c r="U297" s="3218"/>
      <c r="V297" s="3218"/>
      <c r="W297" s="3218"/>
      <c r="X297" s="4009"/>
      <c r="Y297" s="4124"/>
    </row>
    <row r="298" spans="1:26" s="1232" customFormat="1" ht="11.25" customHeight="1" thickBot="1">
      <c r="A298" s="4105"/>
      <c r="B298" s="2291" t="s">
        <v>33</v>
      </c>
      <c r="C298" s="4153"/>
      <c r="D298" s="1785">
        <f t="shared" ref="D298" si="333">M298+O298+P298+Q298+R298+S298+T298+U298+V298+W298</f>
        <v>30969750</v>
      </c>
      <c r="E298" s="1971">
        <f>+F298+G298+H298</f>
        <v>0</v>
      </c>
      <c r="F298" s="1972">
        <v>0</v>
      </c>
      <c r="G298" s="1971">
        <v>0</v>
      </c>
      <c r="H298" s="1971">
        <v>0</v>
      </c>
      <c r="I298" s="1971">
        <v>0</v>
      </c>
      <c r="J298" s="1971">
        <v>0</v>
      </c>
      <c r="K298" s="1971">
        <v>0</v>
      </c>
      <c r="L298" s="1973"/>
      <c r="M298" s="3220">
        <f>+E298+I298+J298+K298+L298+N298</f>
        <v>0</v>
      </c>
      <c r="N298" s="1973"/>
      <c r="O298" s="2296">
        <f>953694-953694</f>
        <v>0</v>
      </c>
      <c r="P298" s="2292">
        <v>30969750</v>
      </c>
      <c r="Q298" s="2292"/>
      <c r="R298" s="2292"/>
      <c r="S298" s="2292"/>
      <c r="T298" s="2292"/>
      <c r="U298" s="2292"/>
      <c r="V298" s="2292"/>
      <c r="W298" s="2292"/>
      <c r="X298" s="4010"/>
      <c r="Y298" s="4125"/>
    </row>
    <row r="299" spans="1:26" ht="26.25" customHeight="1">
      <c r="A299" s="4091" t="s">
        <v>601</v>
      </c>
      <c r="B299" s="2270" t="s">
        <v>583</v>
      </c>
      <c r="C299" s="1945" t="s">
        <v>98</v>
      </c>
      <c r="D299" s="2796"/>
      <c r="E299" s="2797"/>
      <c r="F299" s="2798"/>
      <c r="G299" s="2797"/>
      <c r="H299" s="2797"/>
      <c r="I299" s="2797"/>
      <c r="J299" s="2797"/>
      <c r="K299" s="2797"/>
      <c r="L299" s="2797"/>
      <c r="M299" s="2874"/>
      <c r="N299" s="2874"/>
      <c r="O299" s="2874"/>
      <c r="P299" s="2874"/>
      <c r="Q299" s="2874"/>
      <c r="R299" s="2874"/>
      <c r="S299" s="2874"/>
      <c r="T299" s="2874"/>
      <c r="U299" s="2287"/>
      <c r="V299" s="2287"/>
      <c r="W299" s="2287"/>
      <c r="X299" s="446"/>
      <c r="Y299" s="4151" t="s">
        <v>123</v>
      </c>
    </row>
    <row r="300" spans="1:26" ht="13.5" customHeight="1">
      <c r="A300" s="4071"/>
      <c r="B300" s="2852" t="s">
        <v>22</v>
      </c>
      <c r="C300" s="1796"/>
      <c r="D300" s="1797">
        <f t="shared" ref="D300:O300" si="334">+D301+D304</f>
        <v>36000000</v>
      </c>
      <c r="E300" s="2732">
        <f t="shared" si="334"/>
        <v>0</v>
      </c>
      <c r="F300" s="2732">
        <f t="shared" si="334"/>
        <v>0</v>
      </c>
      <c r="G300" s="2732">
        <f t="shared" si="334"/>
        <v>0</v>
      </c>
      <c r="H300" s="2732">
        <f t="shared" si="334"/>
        <v>0</v>
      </c>
      <c r="I300" s="2732">
        <f t="shared" si="334"/>
        <v>0</v>
      </c>
      <c r="J300" s="2732">
        <f t="shared" si="334"/>
        <v>0</v>
      </c>
      <c r="K300" s="2732">
        <f t="shared" si="334"/>
        <v>0</v>
      </c>
      <c r="L300" s="2732">
        <f t="shared" si="334"/>
        <v>0</v>
      </c>
      <c r="M300" s="2875">
        <f t="shared" ref="M300" si="335">+M301+M304</f>
        <v>0</v>
      </c>
      <c r="N300" s="2875">
        <f t="shared" si="334"/>
        <v>0</v>
      </c>
      <c r="O300" s="2875">
        <f t="shared" si="334"/>
        <v>0</v>
      </c>
      <c r="P300" s="2875">
        <f>+P301+P304</f>
        <v>0</v>
      </c>
      <c r="Q300" s="2732">
        <f t="shared" ref="Q300" si="336">+Q301+Q304</f>
        <v>36000000</v>
      </c>
      <c r="R300" s="2732"/>
      <c r="S300" s="2732"/>
      <c r="T300" s="2732"/>
      <c r="U300" s="2732"/>
      <c r="V300" s="2732"/>
      <c r="W300" s="2732"/>
      <c r="X300" s="1798">
        <f>X301+X304</f>
        <v>36000000</v>
      </c>
      <c r="Y300" s="4124"/>
      <c r="Z300" s="1056"/>
    </row>
    <row r="301" spans="1:26" ht="14.25" customHeight="1">
      <c r="A301" s="4071"/>
      <c r="B301" s="2876" t="s">
        <v>36</v>
      </c>
      <c r="C301" s="4108" t="s">
        <v>119</v>
      </c>
      <c r="D301" s="1967">
        <f t="shared" ref="D301:P301" si="337">+D302+D303</f>
        <v>5400000</v>
      </c>
      <c r="E301" s="1967">
        <f t="shared" si="337"/>
        <v>0</v>
      </c>
      <c r="F301" s="1967">
        <f t="shared" si="337"/>
        <v>0</v>
      </c>
      <c r="G301" s="1967">
        <f t="shared" si="337"/>
        <v>0</v>
      </c>
      <c r="H301" s="1967">
        <f t="shared" si="337"/>
        <v>0</v>
      </c>
      <c r="I301" s="1967">
        <f t="shared" si="337"/>
        <v>0</v>
      </c>
      <c r="J301" s="1967">
        <f t="shared" si="337"/>
        <v>0</v>
      </c>
      <c r="K301" s="1967">
        <f t="shared" si="337"/>
        <v>0</v>
      </c>
      <c r="L301" s="1967">
        <f t="shared" si="337"/>
        <v>0</v>
      </c>
      <c r="M301" s="1969">
        <f t="shared" si="337"/>
        <v>0</v>
      </c>
      <c r="N301" s="1969">
        <f t="shared" si="337"/>
        <v>0</v>
      </c>
      <c r="O301" s="1969">
        <f t="shared" si="337"/>
        <v>0</v>
      </c>
      <c r="P301" s="1969">
        <f t="shared" si="337"/>
        <v>0</v>
      </c>
      <c r="Q301" s="1967">
        <f>+Q302+Q303</f>
        <v>5400000</v>
      </c>
      <c r="R301" s="1967"/>
      <c r="S301" s="1967"/>
      <c r="T301" s="1967"/>
      <c r="U301" s="1967"/>
      <c r="V301" s="1967"/>
      <c r="W301" s="1967"/>
      <c r="X301" s="1815">
        <f t="shared" ref="X301" si="338">+X302+X303</f>
        <v>5400000</v>
      </c>
      <c r="Y301" s="4124"/>
      <c r="Z301" s="1056"/>
    </row>
    <row r="302" spans="1:26" ht="12.75" hidden="1" customHeight="1">
      <c r="A302" s="4071"/>
      <c r="B302" s="1370" t="s">
        <v>24</v>
      </c>
      <c r="C302" s="4109"/>
      <c r="D302" s="1958">
        <f>SUM(M302:W302)</f>
        <v>0</v>
      </c>
      <c r="E302" s="1820">
        <f>+F302+G302+H302</f>
        <v>0</v>
      </c>
      <c r="F302" s="1959">
        <v>0</v>
      </c>
      <c r="G302" s="1820"/>
      <c r="H302" s="1820"/>
      <c r="I302" s="1820"/>
      <c r="J302" s="1820"/>
      <c r="K302" s="1820"/>
      <c r="L302" s="1820">
        <f>420000-420000</f>
        <v>0</v>
      </c>
      <c r="M302" s="2297"/>
      <c r="N302" s="2877"/>
      <c r="O302" s="2297">
        <v>0</v>
      </c>
      <c r="P302" s="2297">
        <v>0</v>
      </c>
      <c r="Q302" s="1820"/>
      <c r="R302" s="1820"/>
      <c r="S302" s="1820"/>
      <c r="T302" s="1820"/>
      <c r="U302" s="1820"/>
      <c r="V302" s="1820"/>
      <c r="W302" s="1820"/>
      <c r="X302" s="3098"/>
      <c r="Y302" s="4124"/>
    </row>
    <row r="303" spans="1:26" s="1787" customFormat="1" ht="11.25" customHeight="1">
      <c r="A303" s="4071"/>
      <c r="B303" s="2290" t="s">
        <v>127</v>
      </c>
      <c r="C303" s="4109"/>
      <c r="D303" s="1958">
        <f>SUM(M303:W303)</f>
        <v>5400000</v>
      </c>
      <c r="E303" s="2878"/>
      <c r="F303" s="2282"/>
      <c r="G303" s="2878"/>
      <c r="H303" s="2878"/>
      <c r="I303" s="2878"/>
      <c r="J303" s="2878"/>
      <c r="K303" s="2878"/>
      <c r="L303" s="2878"/>
      <c r="M303" s="2879">
        <v>0</v>
      </c>
      <c r="N303" s="2880"/>
      <c r="O303" s="2297">
        <v>0</v>
      </c>
      <c r="P303" s="2297">
        <v>0</v>
      </c>
      <c r="Q303" s="2878">
        <v>5400000</v>
      </c>
      <c r="R303" s="1809"/>
      <c r="S303" s="1809"/>
      <c r="T303" s="1809"/>
      <c r="U303" s="1809"/>
      <c r="V303" s="1809"/>
      <c r="W303" s="1809"/>
      <c r="X303" s="1963">
        <f t="shared" ref="X303" si="339">SUM(P303:T303)</f>
        <v>5400000</v>
      </c>
      <c r="Y303" s="4124"/>
    </row>
    <row r="304" spans="1:26" ht="11.25" customHeight="1">
      <c r="A304" s="4071"/>
      <c r="B304" s="2881" t="s">
        <v>30</v>
      </c>
      <c r="C304" s="4109"/>
      <c r="D304" s="1811">
        <f t="shared" ref="D304:Q304" si="340">+D305</f>
        <v>30600000</v>
      </c>
      <c r="E304" s="1812">
        <f t="shared" si="340"/>
        <v>0</v>
      </c>
      <c r="F304" s="1812">
        <f t="shared" si="340"/>
        <v>0</v>
      </c>
      <c r="G304" s="1812">
        <f t="shared" si="340"/>
        <v>0</v>
      </c>
      <c r="H304" s="1812">
        <f t="shared" si="340"/>
        <v>0</v>
      </c>
      <c r="I304" s="1812">
        <f t="shared" si="340"/>
        <v>0</v>
      </c>
      <c r="J304" s="1812">
        <f t="shared" si="340"/>
        <v>0</v>
      </c>
      <c r="K304" s="1812">
        <f t="shared" si="340"/>
        <v>0</v>
      </c>
      <c r="L304" s="1812">
        <f t="shared" si="340"/>
        <v>0</v>
      </c>
      <c r="M304" s="2811">
        <f t="shared" si="340"/>
        <v>0</v>
      </c>
      <c r="N304" s="2811">
        <f t="shared" si="340"/>
        <v>0</v>
      </c>
      <c r="O304" s="2811">
        <f t="shared" si="340"/>
        <v>0</v>
      </c>
      <c r="P304" s="2811">
        <f t="shared" si="340"/>
        <v>0</v>
      </c>
      <c r="Q304" s="1812">
        <f t="shared" si="340"/>
        <v>30600000</v>
      </c>
      <c r="R304" s="1812"/>
      <c r="S304" s="1812"/>
      <c r="T304" s="1812"/>
      <c r="U304" s="1812"/>
      <c r="V304" s="1812"/>
      <c r="W304" s="1812"/>
      <c r="X304" s="1815">
        <f>X305</f>
        <v>30600000</v>
      </c>
      <c r="Y304" s="4124"/>
    </row>
    <row r="305" spans="1:27" ht="13.5" customHeight="1">
      <c r="A305" s="4071"/>
      <c r="B305" s="2882" t="s">
        <v>33</v>
      </c>
      <c r="C305" s="4157"/>
      <c r="D305" s="2883">
        <f>SUM(M305:W305)</f>
        <v>30600000</v>
      </c>
      <c r="E305" s="1820">
        <f>+F305+G305+H305</f>
        <v>0</v>
      </c>
      <c r="F305" s="1959">
        <v>0</v>
      </c>
      <c r="G305" s="1820"/>
      <c r="H305" s="1820"/>
      <c r="I305" s="1820"/>
      <c r="J305" s="1820"/>
      <c r="K305" s="1820"/>
      <c r="L305" s="1820">
        <v>0</v>
      </c>
      <c r="M305" s="2297">
        <f>+E305+I305+J305+K305+L305</f>
        <v>0</v>
      </c>
      <c r="N305" s="2295">
        <v>0</v>
      </c>
      <c r="O305" s="2295">
        <v>0</v>
      </c>
      <c r="P305" s="2295">
        <v>0</v>
      </c>
      <c r="Q305" s="1820">
        <v>30600000</v>
      </c>
      <c r="R305" s="1820"/>
      <c r="S305" s="1959"/>
      <c r="T305" s="1959"/>
      <c r="U305" s="1959"/>
      <c r="V305" s="1959"/>
      <c r="W305" s="1959"/>
      <c r="X305" s="1963">
        <f>SUM(P305:T305)</f>
        <v>30600000</v>
      </c>
      <c r="Y305" s="4124"/>
    </row>
    <row r="306" spans="1:27" ht="13.5" customHeight="1">
      <c r="A306" s="4117"/>
      <c r="B306" s="2884" t="s">
        <v>34</v>
      </c>
      <c r="C306" s="1914"/>
      <c r="D306" s="2813">
        <f>+D309+D307</f>
        <v>36000000</v>
      </c>
      <c r="E306" s="2813">
        <f t="shared" ref="E306:Q306" si="341">+E309+E307</f>
        <v>0</v>
      </c>
      <c r="F306" s="2813">
        <f t="shared" si="341"/>
        <v>0</v>
      </c>
      <c r="G306" s="2813">
        <f t="shared" si="341"/>
        <v>0</v>
      </c>
      <c r="H306" s="2813">
        <f t="shared" si="341"/>
        <v>0</v>
      </c>
      <c r="I306" s="2813">
        <f t="shared" si="341"/>
        <v>0</v>
      </c>
      <c r="J306" s="2813">
        <f t="shared" si="341"/>
        <v>0</v>
      </c>
      <c r="K306" s="2813">
        <f t="shared" si="341"/>
        <v>0</v>
      </c>
      <c r="L306" s="2813">
        <f t="shared" si="341"/>
        <v>0</v>
      </c>
      <c r="M306" s="2814">
        <f t="shared" si="341"/>
        <v>0</v>
      </c>
      <c r="N306" s="2814">
        <f t="shared" si="341"/>
        <v>0</v>
      </c>
      <c r="O306" s="2814">
        <f t="shared" si="341"/>
        <v>0</v>
      </c>
      <c r="P306" s="2813">
        <f t="shared" si="341"/>
        <v>5400000</v>
      </c>
      <c r="Q306" s="2813">
        <f t="shared" si="341"/>
        <v>30600000</v>
      </c>
      <c r="R306" s="2813"/>
      <c r="S306" s="2813"/>
      <c r="T306" s="2813"/>
      <c r="U306" s="2813"/>
      <c r="V306" s="2813"/>
      <c r="W306" s="2813"/>
      <c r="X306" s="4024" t="s">
        <v>35</v>
      </c>
      <c r="Y306" s="4124"/>
    </row>
    <row r="307" spans="1:27" ht="13.5" customHeight="1">
      <c r="A307" s="4117"/>
      <c r="B307" s="2288" t="s">
        <v>36</v>
      </c>
      <c r="C307" s="2885"/>
      <c r="D307" s="2886">
        <f>D308</f>
        <v>5400000</v>
      </c>
      <c r="E307" s="2886">
        <f t="shared" ref="E307:Q307" si="342">E308</f>
        <v>0</v>
      </c>
      <c r="F307" s="2886">
        <f t="shared" si="342"/>
        <v>0</v>
      </c>
      <c r="G307" s="2886">
        <f t="shared" si="342"/>
        <v>0</v>
      </c>
      <c r="H307" s="2886">
        <f t="shared" si="342"/>
        <v>0</v>
      </c>
      <c r="I307" s="2886">
        <f t="shared" si="342"/>
        <v>0</v>
      </c>
      <c r="J307" s="2886">
        <f t="shared" si="342"/>
        <v>0</v>
      </c>
      <c r="K307" s="2886">
        <f t="shared" si="342"/>
        <v>0</v>
      </c>
      <c r="L307" s="2886">
        <f t="shared" si="342"/>
        <v>0</v>
      </c>
      <c r="M307" s="2887">
        <f t="shared" si="342"/>
        <v>0</v>
      </c>
      <c r="N307" s="2887">
        <f t="shared" si="342"/>
        <v>0</v>
      </c>
      <c r="O307" s="2887">
        <f t="shared" si="342"/>
        <v>0</v>
      </c>
      <c r="P307" s="2886">
        <f t="shared" si="342"/>
        <v>5400000</v>
      </c>
      <c r="Q307" s="2886">
        <f t="shared" si="342"/>
        <v>0</v>
      </c>
      <c r="R307" s="2886"/>
      <c r="S307" s="2886"/>
      <c r="T307" s="2886"/>
      <c r="U307" s="2886"/>
      <c r="V307" s="2886"/>
      <c r="W307" s="2886"/>
      <c r="X307" s="4003"/>
      <c r="Y307" s="4124"/>
    </row>
    <row r="308" spans="1:27" ht="13.5" customHeight="1">
      <c r="A308" s="4117"/>
      <c r="B308" s="2290" t="s">
        <v>127</v>
      </c>
      <c r="C308" s="2885"/>
      <c r="D308" s="1958">
        <f>SUM(M308:W308)</f>
        <v>5400000</v>
      </c>
      <c r="E308" s="2886"/>
      <c r="F308" s="2886"/>
      <c r="G308" s="2886"/>
      <c r="H308" s="2886"/>
      <c r="I308" s="2886"/>
      <c r="J308" s="2886"/>
      <c r="K308" s="2886"/>
      <c r="L308" s="2886"/>
      <c r="M308" s="2887">
        <v>0</v>
      </c>
      <c r="N308" s="2887"/>
      <c r="O308" s="2887">
        <v>0</v>
      </c>
      <c r="P308" s="2888">
        <v>5400000</v>
      </c>
      <c r="Q308" s="2888">
        <v>0</v>
      </c>
      <c r="R308" s="2886"/>
      <c r="S308" s="2886"/>
      <c r="T308" s="2886"/>
      <c r="U308" s="2886"/>
      <c r="V308" s="2886"/>
      <c r="W308" s="2886"/>
      <c r="X308" s="4003"/>
      <c r="Y308" s="4124"/>
    </row>
    <row r="309" spans="1:27" ht="12" customHeight="1">
      <c r="A309" s="4117"/>
      <c r="B309" s="2889" t="s">
        <v>30</v>
      </c>
      <c r="C309" s="4158" t="s">
        <v>582</v>
      </c>
      <c r="D309" s="1811">
        <f>+D310</f>
        <v>30600000</v>
      </c>
      <c r="E309" s="1812">
        <f t="shared" ref="E309:Q309" si="343">+E310</f>
        <v>0</v>
      </c>
      <c r="F309" s="1812">
        <f t="shared" si="343"/>
        <v>0</v>
      </c>
      <c r="G309" s="1812">
        <f t="shared" si="343"/>
        <v>0</v>
      </c>
      <c r="H309" s="1812">
        <f t="shared" si="343"/>
        <v>0</v>
      </c>
      <c r="I309" s="1812">
        <f t="shared" si="343"/>
        <v>0</v>
      </c>
      <c r="J309" s="1812">
        <f t="shared" si="343"/>
        <v>0</v>
      </c>
      <c r="K309" s="1812">
        <f t="shared" si="343"/>
        <v>0</v>
      </c>
      <c r="L309" s="1812">
        <f t="shared" si="343"/>
        <v>0</v>
      </c>
      <c r="M309" s="2811">
        <f t="shared" si="343"/>
        <v>0</v>
      </c>
      <c r="N309" s="2811">
        <f t="shared" si="343"/>
        <v>0</v>
      </c>
      <c r="O309" s="2811">
        <f t="shared" si="343"/>
        <v>0</v>
      </c>
      <c r="P309" s="2811">
        <f t="shared" si="343"/>
        <v>0</v>
      </c>
      <c r="Q309" s="1812">
        <f t="shared" si="343"/>
        <v>30600000</v>
      </c>
      <c r="R309" s="1812"/>
      <c r="S309" s="1812"/>
      <c r="T309" s="1812"/>
      <c r="U309" s="1812"/>
      <c r="V309" s="1812"/>
      <c r="W309" s="1812"/>
      <c r="X309" s="4003"/>
      <c r="Y309" s="4124"/>
    </row>
    <row r="310" spans="1:27" ht="13.5" customHeight="1" thickBot="1">
      <c r="A310" s="4118"/>
      <c r="B310" s="2819" t="s">
        <v>33</v>
      </c>
      <c r="C310" s="4110"/>
      <c r="D310" s="1958">
        <f>SUM(M310:W310)</f>
        <v>30600000</v>
      </c>
      <c r="E310" s="1825">
        <f>+F310+G310+H310</f>
        <v>0</v>
      </c>
      <c r="F310" s="1826">
        <v>0</v>
      </c>
      <c r="G310" s="1825">
        <v>0</v>
      </c>
      <c r="H310" s="1825">
        <v>0</v>
      </c>
      <c r="I310" s="1825">
        <f>5500000-5500000</f>
        <v>0</v>
      </c>
      <c r="J310" s="1825"/>
      <c r="K310" s="1825"/>
      <c r="L310" s="1825">
        <f>862500-862500</f>
        <v>0</v>
      </c>
      <c r="M310" s="2890">
        <f>L310+E310+I310+J310+K310</f>
        <v>0</v>
      </c>
      <c r="N310" s="2820"/>
      <c r="O310" s="2820">
        <v>0</v>
      </c>
      <c r="P310" s="2820">
        <v>0</v>
      </c>
      <c r="Q310" s="2821">
        <v>30600000</v>
      </c>
      <c r="R310" s="2821"/>
      <c r="S310" s="2821"/>
      <c r="T310" s="2821"/>
      <c r="U310" s="2821"/>
      <c r="V310" s="2821"/>
      <c r="W310" s="2821"/>
      <c r="X310" s="4004"/>
      <c r="Y310" s="4125"/>
    </row>
    <row r="311" spans="1:27" ht="26.25" customHeight="1">
      <c r="A311" s="4102" t="s">
        <v>125</v>
      </c>
      <c r="B311" s="2270" t="s">
        <v>584</v>
      </c>
      <c r="C311" s="1945" t="s">
        <v>98</v>
      </c>
      <c r="D311" s="2891"/>
      <c r="E311" s="1947"/>
      <c r="F311" s="1948"/>
      <c r="G311" s="1947"/>
      <c r="H311" s="1947"/>
      <c r="I311" s="1947"/>
      <c r="J311" s="1947"/>
      <c r="K311" s="1947"/>
      <c r="L311" s="1947"/>
      <c r="M311" s="1947"/>
      <c r="N311" s="1947"/>
      <c r="O311" s="1947"/>
      <c r="P311" s="1949"/>
      <c r="Q311" s="1949"/>
      <c r="R311" s="1949"/>
      <c r="S311" s="1950"/>
      <c r="T311" s="1950"/>
      <c r="U311" s="1950"/>
      <c r="V311" s="1950"/>
      <c r="W311" s="1950"/>
      <c r="X311" s="1951"/>
      <c r="Y311" s="4154" t="s">
        <v>123</v>
      </c>
    </row>
    <row r="312" spans="1:27" ht="13.5" customHeight="1">
      <c r="A312" s="4103"/>
      <c r="B312" s="1795" t="s">
        <v>22</v>
      </c>
      <c r="C312" s="1796"/>
      <c r="D312" s="2892">
        <f t="shared" ref="D312:O312" si="344">+D313+D317</f>
        <v>246000000</v>
      </c>
      <c r="E312" s="2870">
        <f t="shared" si="344"/>
        <v>0</v>
      </c>
      <c r="F312" s="2870">
        <f t="shared" si="344"/>
        <v>0</v>
      </c>
      <c r="G312" s="2870">
        <f t="shared" si="344"/>
        <v>0</v>
      </c>
      <c r="H312" s="2870">
        <f t="shared" si="344"/>
        <v>0</v>
      </c>
      <c r="I312" s="2870">
        <f t="shared" si="344"/>
        <v>0</v>
      </c>
      <c r="J312" s="2870">
        <f t="shared" si="344"/>
        <v>0</v>
      </c>
      <c r="K312" s="2870">
        <f t="shared" si="344"/>
        <v>0</v>
      </c>
      <c r="L312" s="2893">
        <f t="shared" si="344"/>
        <v>0</v>
      </c>
      <c r="M312" s="2894">
        <f t="shared" ref="M312" si="345">+M313+M317</f>
        <v>0</v>
      </c>
      <c r="N312" s="2894">
        <f t="shared" si="344"/>
        <v>0</v>
      </c>
      <c r="O312" s="2894">
        <f t="shared" si="344"/>
        <v>0</v>
      </c>
      <c r="P312" s="2895">
        <f>+P313+P317</f>
        <v>0</v>
      </c>
      <c r="Q312" s="2870">
        <f t="shared" ref="Q312:R312" si="346">+Q313+Q317</f>
        <v>132000000</v>
      </c>
      <c r="R312" s="2870">
        <f t="shared" si="346"/>
        <v>114000000</v>
      </c>
      <c r="S312" s="2870"/>
      <c r="T312" s="2870"/>
      <c r="U312" s="2870"/>
      <c r="V312" s="2870"/>
      <c r="W312" s="2870"/>
      <c r="X312" s="1798">
        <f t="shared" ref="X312" si="347">+X313+X317</f>
        <v>246000000</v>
      </c>
      <c r="Y312" s="4155"/>
      <c r="AA312" s="1056"/>
    </row>
    <row r="313" spans="1:27" ht="13.5" customHeight="1">
      <c r="A313" s="4103"/>
      <c r="B313" s="2288" t="s">
        <v>36</v>
      </c>
      <c r="C313" s="4108" t="s">
        <v>119</v>
      </c>
      <c r="D313" s="2871">
        <f>+D314+D316+D315</f>
        <v>36900000</v>
      </c>
      <c r="E313" s="2871">
        <f t="shared" ref="E313:R313" si="348">+E314+E316+E315</f>
        <v>0</v>
      </c>
      <c r="F313" s="2871">
        <f t="shared" si="348"/>
        <v>0</v>
      </c>
      <c r="G313" s="2871">
        <f t="shared" si="348"/>
        <v>0</v>
      </c>
      <c r="H313" s="2871">
        <f t="shared" si="348"/>
        <v>0</v>
      </c>
      <c r="I313" s="2871">
        <f t="shared" si="348"/>
        <v>0</v>
      </c>
      <c r="J313" s="2871">
        <f t="shared" si="348"/>
        <v>0</v>
      </c>
      <c r="K313" s="2871">
        <f t="shared" si="348"/>
        <v>0</v>
      </c>
      <c r="L313" s="2871">
        <f t="shared" si="348"/>
        <v>0</v>
      </c>
      <c r="M313" s="2896">
        <f t="shared" si="348"/>
        <v>0</v>
      </c>
      <c r="N313" s="2896">
        <f t="shared" si="348"/>
        <v>0</v>
      </c>
      <c r="O313" s="2896">
        <f t="shared" si="348"/>
        <v>0</v>
      </c>
      <c r="P313" s="2896">
        <f t="shared" si="348"/>
        <v>0</v>
      </c>
      <c r="Q313" s="2871">
        <f t="shared" si="348"/>
        <v>19800000</v>
      </c>
      <c r="R313" s="2871">
        <f t="shared" si="348"/>
        <v>17100000</v>
      </c>
      <c r="S313" s="2871"/>
      <c r="T313" s="2871"/>
      <c r="U313" s="2871"/>
      <c r="V313" s="2871"/>
      <c r="W313" s="2871"/>
      <c r="X313" s="1815">
        <f t="shared" ref="X313" si="349">+X314+X316+X315</f>
        <v>36900000</v>
      </c>
      <c r="Y313" s="4155"/>
      <c r="AA313" s="1056"/>
    </row>
    <row r="314" spans="1:27" ht="12.75" customHeight="1">
      <c r="A314" s="4103"/>
      <c r="B314" s="2805" t="s">
        <v>24</v>
      </c>
      <c r="C314" s="4109"/>
      <c r="D314" s="1958">
        <f>SUM(M314:T314)</f>
        <v>12933859</v>
      </c>
      <c r="E314" s="1820">
        <f>+F314+G314+H314</f>
        <v>0</v>
      </c>
      <c r="F314" s="1959">
        <v>0</v>
      </c>
      <c r="G314" s="1371">
        <v>0</v>
      </c>
      <c r="H314" s="1371"/>
      <c r="I314" s="1371"/>
      <c r="J314" s="1371"/>
      <c r="K314" s="1820"/>
      <c r="L314" s="1371"/>
      <c r="M314" s="2297">
        <f t="shared" ref="M314:M318" si="350">+E314+I314+J314+K314+L314</f>
        <v>0</v>
      </c>
      <c r="N314" s="2842"/>
      <c r="O314" s="1962">
        <v>0</v>
      </c>
      <c r="P314" s="1962">
        <v>0</v>
      </c>
      <c r="Q314" s="1959">
        <v>4253144</v>
      </c>
      <c r="R314" s="1959">
        <v>8680715</v>
      </c>
      <c r="S314" s="1959"/>
      <c r="T314" s="1959"/>
      <c r="U314" s="1959"/>
      <c r="V314" s="1959"/>
      <c r="W314" s="1959"/>
      <c r="X314" s="1963">
        <f t="shared" ref="X314:X315" si="351">SUM(P314:T314)</f>
        <v>12933859</v>
      </c>
      <c r="Y314" s="4155"/>
    </row>
    <row r="315" spans="1:27" s="1787" customFormat="1" ht="12.75" customHeight="1">
      <c r="A315" s="4103"/>
      <c r="B315" s="2290" t="s">
        <v>127</v>
      </c>
      <c r="C315" s="4109"/>
      <c r="D315" s="1958">
        <f>SUM(M315:T315)</f>
        <v>23966141</v>
      </c>
      <c r="E315" s="1809"/>
      <c r="F315" s="2872"/>
      <c r="G315" s="2897"/>
      <c r="H315" s="2897"/>
      <c r="I315" s="2897"/>
      <c r="J315" s="2897"/>
      <c r="K315" s="2898"/>
      <c r="L315" s="2897"/>
      <c r="M315" s="2879">
        <v>0</v>
      </c>
      <c r="N315" s="2899"/>
      <c r="O315" s="2900">
        <v>0</v>
      </c>
      <c r="P315" s="2900">
        <v>0</v>
      </c>
      <c r="Q315" s="2872">
        <v>15546856</v>
      </c>
      <c r="R315" s="2872">
        <v>8419285</v>
      </c>
      <c r="S315" s="2872"/>
      <c r="T315" s="2872"/>
      <c r="U315" s="2872"/>
      <c r="V315" s="2872"/>
      <c r="W315" s="2872"/>
      <c r="X315" s="1963">
        <f t="shared" si="351"/>
        <v>23966141</v>
      </c>
      <c r="Y315" s="4155"/>
    </row>
    <row r="316" spans="1:27" ht="13.5" hidden="1" customHeight="1">
      <c r="A316" s="4103"/>
      <c r="B316" s="2806" t="s">
        <v>27</v>
      </c>
      <c r="C316" s="4109"/>
      <c r="D316" s="1958">
        <f t="shared" ref="D316" si="352">SUM(M316:T316)</f>
        <v>0</v>
      </c>
      <c r="E316" s="1820">
        <f>+F316+G316+H316</f>
        <v>0</v>
      </c>
      <c r="F316" s="1818">
        <v>0</v>
      </c>
      <c r="G316" s="1818">
        <v>0</v>
      </c>
      <c r="H316" s="2807"/>
      <c r="I316" s="2807"/>
      <c r="J316" s="2807">
        <v>0</v>
      </c>
      <c r="K316" s="1818">
        <v>0</v>
      </c>
      <c r="L316" s="1818">
        <v>0</v>
      </c>
      <c r="M316" s="2297"/>
      <c r="N316" s="2901">
        <v>0</v>
      </c>
      <c r="O316" s="2901">
        <v>0</v>
      </c>
      <c r="P316" s="2901">
        <v>0</v>
      </c>
      <c r="Q316" s="1819">
        <v>0</v>
      </c>
      <c r="R316" s="1819">
        <v>0</v>
      </c>
      <c r="S316" s="1819"/>
      <c r="T316" s="1819"/>
      <c r="U316" s="1819"/>
      <c r="V316" s="1819"/>
      <c r="W316" s="1819"/>
      <c r="X316" s="2810"/>
      <c r="Y316" s="4155"/>
    </row>
    <row r="317" spans="1:27" ht="13.5" customHeight="1">
      <c r="A317" s="4103"/>
      <c r="B317" s="2737" t="s">
        <v>30</v>
      </c>
      <c r="C317" s="4109"/>
      <c r="D317" s="1811">
        <f>+D318</f>
        <v>209100000</v>
      </c>
      <c r="E317" s="1812">
        <f t="shared" ref="E317:X317" si="353">+E318</f>
        <v>0</v>
      </c>
      <c r="F317" s="1812">
        <f t="shared" si="353"/>
        <v>0</v>
      </c>
      <c r="G317" s="1812">
        <f t="shared" si="353"/>
        <v>0</v>
      </c>
      <c r="H317" s="1812">
        <f t="shared" si="353"/>
        <v>0</v>
      </c>
      <c r="I317" s="1812">
        <f t="shared" si="353"/>
        <v>0</v>
      </c>
      <c r="J317" s="1812">
        <f t="shared" si="353"/>
        <v>0</v>
      </c>
      <c r="K317" s="1812">
        <f t="shared" si="353"/>
        <v>0</v>
      </c>
      <c r="L317" s="1812">
        <f t="shared" si="353"/>
        <v>0</v>
      </c>
      <c r="M317" s="2811">
        <f t="shared" si="353"/>
        <v>0</v>
      </c>
      <c r="N317" s="2811">
        <f t="shared" si="353"/>
        <v>0</v>
      </c>
      <c r="O317" s="2811">
        <f t="shared" si="353"/>
        <v>0</v>
      </c>
      <c r="P317" s="2811">
        <f t="shared" si="353"/>
        <v>0</v>
      </c>
      <c r="Q317" s="1812">
        <f t="shared" si="353"/>
        <v>112200000</v>
      </c>
      <c r="R317" s="1812">
        <f t="shared" si="353"/>
        <v>96900000</v>
      </c>
      <c r="S317" s="1812"/>
      <c r="T317" s="1812"/>
      <c r="U317" s="1812"/>
      <c r="V317" s="1812"/>
      <c r="W317" s="1812"/>
      <c r="X317" s="1815">
        <f t="shared" si="353"/>
        <v>209100000</v>
      </c>
      <c r="Y317" s="4155"/>
    </row>
    <row r="318" spans="1:27" ht="13.5" customHeight="1">
      <c r="A318" s="4103"/>
      <c r="B318" s="2277" t="s">
        <v>33</v>
      </c>
      <c r="C318" s="4157"/>
      <c r="D318" s="1958">
        <f>SUM(M318:T318)</f>
        <v>209100000</v>
      </c>
      <c r="E318" s="1818">
        <f>+F318+G318+H318</f>
        <v>0</v>
      </c>
      <c r="F318" s="1819">
        <v>0</v>
      </c>
      <c r="G318" s="2807">
        <v>0</v>
      </c>
      <c r="H318" s="2807"/>
      <c r="I318" s="2807"/>
      <c r="J318" s="2807"/>
      <c r="K318" s="2807">
        <v>0</v>
      </c>
      <c r="L318" s="1818">
        <v>0</v>
      </c>
      <c r="M318" s="2297">
        <f t="shared" si="350"/>
        <v>0</v>
      </c>
      <c r="N318" s="2901">
        <v>0</v>
      </c>
      <c r="O318" s="2901">
        <v>0</v>
      </c>
      <c r="P318" s="2901">
        <v>0</v>
      </c>
      <c r="Q318" s="1819">
        <v>112200000</v>
      </c>
      <c r="R318" s="1819">
        <v>96900000</v>
      </c>
      <c r="S318" s="1819"/>
      <c r="T318" s="1819"/>
      <c r="U318" s="1819"/>
      <c r="V318" s="1819"/>
      <c r="W318" s="1819"/>
      <c r="X318" s="1963">
        <f>SUM(P318:T318)</f>
        <v>209100000</v>
      </c>
      <c r="Y318" s="4155"/>
    </row>
    <row r="319" spans="1:27" ht="12.75" customHeight="1">
      <c r="A319" s="4104"/>
      <c r="B319" s="1795" t="s">
        <v>34</v>
      </c>
      <c r="C319" s="1796"/>
      <c r="D319" s="1797">
        <f>+D320+D323</f>
        <v>233066141</v>
      </c>
      <c r="E319" s="2732">
        <f t="shared" ref="E319:L319" si="354">+E320+E323</f>
        <v>0</v>
      </c>
      <c r="F319" s="2732">
        <f t="shared" si="354"/>
        <v>0</v>
      </c>
      <c r="G319" s="2732">
        <f t="shared" si="354"/>
        <v>0</v>
      </c>
      <c r="H319" s="2732">
        <f t="shared" si="354"/>
        <v>0</v>
      </c>
      <c r="I319" s="2732">
        <f t="shared" si="354"/>
        <v>0</v>
      </c>
      <c r="J319" s="2732">
        <f t="shared" si="354"/>
        <v>0</v>
      </c>
      <c r="K319" s="2732">
        <f t="shared" si="354"/>
        <v>0</v>
      </c>
      <c r="L319" s="2732">
        <f t="shared" si="354"/>
        <v>0</v>
      </c>
      <c r="M319" s="2732">
        <f t="shared" ref="M319" si="355">+M320+M323</f>
        <v>4108286</v>
      </c>
      <c r="N319" s="2732">
        <f>+N320+N323</f>
        <v>4108286</v>
      </c>
      <c r="O319" s="2875">
        <f>+O320+O323</f>
        <v>0</v>
      </c>
      <c r="P319" s="2732">
        <f>+P320+P323</f>
        <v>3019285</v>
      </c>
      <c r="Q319" s="2732">
        <f t="shared" ref="Q319:R319" si="356">+Q320+Q323</f>
        <v>120619285</v>
      </c>
      <c r="R319" s="2732">
        <f t="shared" si="356"/>
        <v>105319285</v>
      </c>
      <c r="S319" s="2732"/>
      <c r="T319" s="2732"/>
      <c r="U319" s="2732"/>
      <c r="V319" s="2732"/>
      <c r="W319" s="2732"/>
      <c r="X319" s="2902"/>
      <c r="Y319" s="4155"/>
    </row>
    <row r="320" spans="1:27" ht="13.5" customHeight="1">
      <c r="A320" s="4104"/>
      <c r="B320" s="2288" t="s">
        <v>36</v>
      </c>
      <c r="C320" s="4158" t="s">
        <v>582</v>
      </c>
      <c r="D320" s="2815">
        <f>+D322+D321</f>
        <v>23966141</v>
      </c>
      <c r="E320" s="2815">
        <f t="shared" ref="E320:R320" si="357">+E322+E321</f>
        <v>0</v>
      </c>
      <c r="F320" s="2815">
        <f t="shared" si="357"/>
        <v>0</v>
      </c>
      <c r="G320" s="2815">
        <f t="shared" si="357"/>
        <v>0</v>
      </c>
      <c r="H320" s="2815">
        <f t="shared" si="357"/>
        <v>0</v>
      </c>
      <c r="I320" s="2815">
        <f t="shared" si="357"/>
        <v>0</v>
      </c>
      <c r="J320" s="2815">
        <f t="shared" si="357"/>
        <v>0</v>
      </c>
      <c r="K320" s="2815">
        <f t="shared" si="357"/>
        <v>0</v>
      </c>
      <c r="L320" s="2815">
        <f t="shared" si="357"/>
        <v>0</v>
      </c>
      <c r="M320" s="2815">
        <f t="shared" si="357"/>
        <v>4108286</v>
      </c>
      <c r="N320" s="2815">
        <f t="shared" si="357"/>
        <v>4108286</v>
      </c>
      <c r="O320" s="2816">
        <f t="shared" si="357"/>
        <v>0</v>
      </c>
      <c r="P320" s="2815">
        <f t="shared" si="357"/>
        <v>3019285</v>
      </c>
      <c r="Q320" s="2815">
        <f t="shared" si="357"/>
        <v>8419285</v>
      </c>
      <c r="R320" s="2815">
        <f t="shared" si="357"/>
        <v>8419285</v>
      </c>
      <c r="S320" s="2815"/>
      <c r="T320" s="2815"/>
      <c r="U320" s="2815"/>
      <c r="V320" s="2815"/>
      <c r="W320" s="2815"/>
      <c r="X320" s="2903"/>
      <c r="Y320" s="4155"/>
    </row>
    <row r="321" spans="1:27" s="2873" customFormat="1" ht="13.5" customHeight="1">
      <c r="A321" s="4104"/>
      <c r="B321" s="2904" t="s">
        <v>127</v>
      </c>
      <c r="C321" s="4164"/>
      <c r="D321" s="2905">
        <f>M321+O321+P321+Q321+R321+S321+T321+U321+V321+W321</f>
        <v>23966141</v>
      </c>
      <c r="E321" s="2815"/>
      <c r="F321" s="2815"/>
      <c r="G321" s="2815"/>
      <c r="H321" s="2815"/>
      <c r="I321" s="2815"/>
      <c r="J321" s="2815"/>
      <c r="K321" s="2815"/>
      <c r="L321" s="2815"/>
      <c r="M321" s="2855">
        <f>+E321+I321+J321+K321+L321+N321</f>
        <v>4108286</v>
      </c>
      <c r="N321" s="2906">
        <v>4108286</v>
      </c>
      <c r="O321" s="2816">
        <v>0</v>
      </c>
      <c r="P321" s="2906">
        <v>3019285</v>
      </c>
      <c r="Q321" s="2906">
        <v>8419285</v>
      </c>
      <c r="R321" s="2906">
        <v>8419285</v>
      </c>
      <c r="S321" s="2815"/>
      <c r="T321" s="2815"/>
      <c r="U321" s="2815"/>
      <c r="V321" s="2815"/>
      <c r="W321" s="2815"/>
      <c r="X321" s="2903"/>
      <c r="Y321" s="4155"/>
    </row>
    <row r="322" spans="1:27" ht="12.75" hidden="1" customHeight="1">
      <c r="A322" s="4104"/>
      <c r="B322" s="2806" t="s">
        <v>27</v>
      </c>
      <c r="C322" s="4165"/>
      <c r="D322" s="1958">
        <f t="shared" ref="D322" si="358">SUM(M322:T322)</f>
        <v>0</v>
      </c>
      <c r="E322" s="1820">
        <f>+F322+G322+H322</f>
        <v>0</v>
      </c>
      <c r="F322" s="2817">
        <v>0</v>
      </c>
      <c r="G322" s="2817">
        <v>0</v>
      </c>
      <c r="H322" s="2817">
        <v>0</v>
      </c>
      <c r="I322" s="2817"/>
      <c r="J322" s="2817">
        <v>0</v>
      </c>
      <c r="K322" s="2817">
        <v>0</v>
      </c>
      <c r="L322" s="2817">
        <v>0</v>
      </c>
      <c r="M322" s="1961">
        <f t="shared" ref="M322" si="359">+E322+I322+J322+K322+L322</f>
        <v>0</v>
      </c>
      <c r="N322" s="2817">
        <v>0</v>
      </c>
      <c r="O322" s="2818">
        <v>0</v>
      </c>
      <c r="P322" s="2907">
        <v>0</v>
      </c>
      <c r="Q322" s="2907"/>
      <c r="R322" s="2907"/>
      <c r="S322" s="2907"/>
      <c r="T322" s="2907"/>
      <c r="U322" s="2907"/>
      <c r="V322" s="2907"/>
      <c r="W322" s="2907"/>
      <c r="X322" s="2903"/>
      <c r="Y322" s="4155"/>
    </row>
    <row r="323" spans="1:27" ht="12" customHeight="1">
      <c r="A323" s="4104"/>
      <c r="B323" s="2737" t="s">
        <v>30</v>
      </c>
      <c r="C323" s="4165"/>
      <c r="D323" s="1811">
        <f t="shared" ref="D323:R323" si="360">+D324</f>
        <v>209100000</v>
      </c>
      <c r="E323" s="1812">
        <f t="shared" si="360"/>
        <v>0</v>
      </c>
      <c r="F323" s="1812">
        <f t="shared" si="360"/>
        <v>0</v>
      </c>
      <c r="G323" s="1812">
        <f t="shared" si="360"/>
        <v>0</v>
      </c>
      <c r="H323" s="1812">
        <f t="shared" si="360"/>
        <v>0</v>
      </c>
      <c r="I323" s="1812">
        <f t="shared" si="360"/>
        <v>0</v>
      </c>
      <c r="J323" s="1812">
        <f t="shared" si="360"/>
        <v>0</v>
      </c>
      <c r="K323" s="1812">
        <f t="shared" si="360"/>
        <v>0</v>
      </c>
      <c r="L323" s="1812">
        <f t="shared" si="360"/>
        <v>0</v>
      </c>
      <c r="M323" s="2811">
        <f t="shared" si="360"/>
        <v>0</v>
      </c>
      <c r="N323" s="2811">
        <f t="shared" si="360"/>
        <v>0</v>
      </c>
      <c r="O323" s="2811">
        <f t="shared" si="360"/>
        <v>0</v>
      </c>
      <c r="P323" s="2811">
        <f t="shared" si="360"/>
        <v>0</v>
      </c>
      <c r="Q323" s="1812">
        <f t="shared" si="360"/>
        <v>112200000</v>
      </c>
      <c r="R323" s="1812">
        <f t="shared" si="360"/>
        <v>96900000</v>
      </c>
      <c r="S323" s="1812"/>
      <c r="T323" s="1812"/>
      <c r="U323" s="1812"/>
      <c r="V323" s="1812"/>
      <c r="W323" s="1812"/>
      <c r="X323" s="2903"/>
      <c r="Y323" s="4155"/>
    </row>
    <row r="324" spans="1:27" ht="13.5" customHeight="1" thickBot="1">
      <c r="A324" s="4105"/>
      <c r="B324" s="2819" t="s">
        <v>33</v>
      </c>
      <c r="C324" s="4166"/>
      <c r="D324" s="1958">
        <f>SUM(M324:T324)</f>
        <v>209100000</v>
      </c>
      <c r="E324" s="1825">
        <f>+F324+G324+H324</f>
        <v>0</v>
      </c>
      <c r="F324" s="1826">
        <v>0</v>
      </c>
      <c r="G324" s="1825">
        <v>0</v>
      </c>
      <c r="H324" s="1825">
        <v>0</v>
      </c>
      <c r="I324" s="1825"/>
      <c r="J324" s="1825"/>
      <c r="K324" s="1825"/>
      <c r="L324" s="1825">
        <v>0</v>
      </c>
      <c r="M324" s="2297">
        <f t="shared" ref="M324" si="361">+E324+I324+J324+K324+L324</f>
        <v>0</v>
      </c>
      <c r="N324" s="2908">
        <v>0</v>
      </c>
      <c r="O324" s="2908">
        <v>0</v>
      </c>
      <c r="P324" s="2820">
        <v>0</v>
      </c>
      <c r="Q324" s="2821">
        <v>112200000</v>
      </c>
      <c r="R324" s="2821">
        <v>96900000</v>
      </c>
      <c r="S324" s="2821"/>
      <c r="T324" s="2821"/>
      <c r="U324" s="2821"/>
      <c r="V324" s="2821"/>
      <c r="W324" s="2821"/>
      <c r="X324" s="2909"/>
      <c r="Y324" s="4156"/>
    </row>
    <row r="325" spans="1:27" ht="17.25" customHeight="1">
      <c r="A325" s="4143" t="s">
        <v>411</v>
      </c>
      <c r="B325" s="601" t="s">
        <v>441</v>
      </c>
      <c r="C325" s="602"/>
      <c r="D325" s="603"/>
      <c r="E325" s="604"/>
      <c r="F325" s="604"/>
      <c r="G325" s="604"/>
      <c r="H325" s="604"/>
      <c r="I325" s="604"/>
      <c r="J325" s="605"/>
      <c r="K325" s="605"/>
      <c r="L325" s="605"/>
      <c r="M325" s="605"/>
      <c r="N325" s="605"/>
      <c r="O325" s="605"/>
      <c r="P325" s="605"/>
      <c r="Q325" s="605"/>
      <c r="R325" s="605"/>
      <c r="S325" s="605"/>
      <c r="T325" s="605"/>
      <c r="U325" s="1563"/>
      <c r="V325" s="1564"/>
      <c r="W325" s="1564"/>
      <c r="X325" s="606"/>
      <c r="Y325" s="4147"/>
    </row>
    <row r="326" spans="1:27" s="1235" customFormat="1" ht="14.25" customHeight="1">
      <c r="A326" s="4144"/>
      <c r="B326" s="406" t="s">
        <v>22</v>
      </c>
      <c r="C326" s="545"/>
      <c r="D326" s="607">
        <f>+D327+D329</f>
        <v>9452222</v>
      </c>
      <c r="E326" s="607">
        <f t="shared" ref="E326:P326" si="362">+E327+E329</f>
        <v>0</v>
      </c>
      <c r="F326" s="607">
        <f t="shared" si="362"/>
        <v>0</v>
      </c>
      <c r="G326" s="607">
        <f t="shared" si="362"/>
        <v>0</v>
      </c>
      <c r="H326" s="607">
        <f t="shared" si="362"/>
        <v>0</v>
      </c>
      <c r="I326" s="607">
        <f t="shared" si="362"/>
        <v>0</v>
      </c>
      <c r="J326" s="607">
        <f t="shared" si="362"/>
        <v>0</v>
      </c>
      <c r="K326" s="607">
        <f t="shared" si="362"/>
        <v>0</v>
      </c>
      <c r="L326" s="607">
        <f t="shared" si="362"/>
        <v>0</v>
      </c>
      <c r="M326" s="607">
        <f t="shared" ref="M326:N326" si="363">+M327+M329</f>
        <v>0</v>
      </c>
      <c r="N326" s="607">
        <f t="shared" si="363"/>
        <v>0</v>
      </c>
      <c r="O326" s="607">
        <f t="shared" si="362"/>
        <v>0</v>
      </c>
      <c r="P326" s="607">
        <f t="shared" si="362"/>
        <v>9048546</v>
      </c>
      <c r="Q326" s="607">
        <f t="shared" ref="Q326:T326" si="364">+Q327+Q329</f>
        <v>266706</v>
      </c>
      <c r="R326" s="607">
        <f t="shared" si="364"/>
        <v>115385</v>
      </c>
      <c r="S326" s="607">
        <f t="shared" si="364"/>
        <v>21585</v>
      </c>
      <c r="T326" s="607">
        <f t="shared" si="364"/>
        <v>0</v>
      </c>
      <c r="U326" s="607">
        <f t="shared" ref="U326:W326" si="365">+U327+U329</f>
        <v>0</v>
      </c>
      <c r="V326" s="607">
        <f t="shared" si="365"/>
        <v>0</v>
      </c>
      <c r="W326" s="607">
        <f t="shared" si="365"/>
        <v>0</v>
      </c>
      <c r="X326" s="408">
        <f>+X327+X329</f>
        <v>9452222</v>
      </c>
      <c r="Y326" s="4148"/>
      <c r="Z326" s="1229">
        <f>+O326+P326</f>
        <v>9048546</v>
      </c>
      <c r="AA326" s="1234"/>
    </row>
    <row r="327" spans="1:27" s="1236" customFormat="1" ht="13.5" customHeight="1">
      <c r="A327" s="4144"/>
      <c r="B327" s="608" t="s">
        <v>23</v>
      </c>
      <c r="C327" s="609"/>
      <c r="D327" s="411">
        <f>+D328</f>
        <v>9067833</v>
      </c>
      <c r="E327" s="411">
        <f t="shared" ref="E327:W327" si="366">+E328</f>
        <v>0</v>
      </c>
      <c r="F327" s="411">
        <f t="shared" si="366"/>
        <v>0</v>
      </c>
      <c r="G327" s="411">
        <f t="shared" si="366"/>
        <v>0</v>
      </c>
      <c r="H327" s="411">
        <f t="shared" si="366"/>
        <v>0</v>
      </c>
      <c r="I327" s="411">
        <f t="shared" si="366"/>
        <v>0</v>
      </c>
      <c r="J327" s="411">
        <f t="shared" si="366"/>
        <v>0</v>
      </c>
      <c r="K327" s="411">
        <f t="shared" si="366"/>
        <v>0</v>
      </c>
      <c r="L327" s="411">
        <f t="shared" si="366"/>
        <v>0</v>
      </c>
      <c r="M327" s="411">
        <f t="shared" si="366"/>
        <v>0</v>
      </c>
      <c r="N327" s="411">
        <f t="shared" si="366"/>
        <v>0</v>
      </c>
      <c r="O327" s="411">
        <f t="shared" si="366"/>
        <v>0</v>
      </c>
      <c r="P327" s="411">
        <f t="shared" si="366"/>
        <v>9007282</v>
      </c>
      <c r="Q327" s="411">
        <f t="shared" si="366"/>
        <v>40006</v>
      </c>
      <c r="R327" s="411">
        <f t="shared" si="366"/>
        <v>17308</v>
      </c>
      <c r="S327" s="411">
        <f t="shared" si="366"/>
        <v>3237</v>
      </c>
      <c r="T327" s="411">
        <f t="shared" si="366"/>
        <v>0</v>
      </c>
      <c r="U327" s="411">
        <f t="shared" si="366"/>
        <v>0</v>
      </c>
      <c r="V327" s="411">
        <f t="shared" si="366"/>
        <v>0</v>
      </c>
      <c r="W327" s="411">
        <f t="shared" si="366"/>
        <v>0</v>
      </c>
      <c r="X327" s="509">
        <f>+X328</f>
        <v>9067833</v>
      </c>
      <c r="Y327" s="4148"/>
      <c r="AA327" s="1234"/>
    </row>
    <row r="328" spans="1:27" s="1235" customFormat="1" ht="11.25" customHeight="1">
      <c r="A328" s="4144"/>
      <c r="B328" s="431" t="s">
        <v>24</v>
      </c>
      <c r="C328" s="432"/>
      <c r="D328" s="415">
        <f>+D337+D347+D356</f>
        <v>9067833</v>
      </c>
      <c r="E328" s="415">
        <f t="shared" ref="E328:O328" si="367">+E337+E347</f>
        <v>0</v>
      </c>
      <c r="F328" s="415">
        <f t="shared" si="367"/>
        <v>0</v>
      </c>
      <c r="G328" s="415">
        <f t="shared" si="367"/>
        <v>0</v>
      </c>
      <c r="H328" s="415">
        <f t="shared" si="367"/>
        <v>0</v>
      </c>
      <c r="I328" s="415">
        <f t="shared" si="367"/>
        <v>0</v>
      </c>
      <c r="J328" s="415">
        <f t="shared" si="367"/>
        <v>0</v>
      </c>
      <c r="K328" s="415">
        <f t="shared" si="367"/>
        <v>0</v>
      </c>
      <c r="L328" s="415">
        <f t="shared" si="367"/>
        <v>0</v>
      </c>
      <c r="M328" s="415">
        <f t="shared" si="367"/>
        <v>0</v>
      </c>
      <c r="N328" s="415">
        <f t="shared" si="367"/>
        <v>0</v>
      </c>
      <c r="O328" s="415">
        <f t="shared" si="367"/>
        <v>0</v>
      </c>
      <c r="P328" s="415">
        <f>+P337+P347+P356</f>
        <v>9007282</v>
      </c>
      <c r="Q328" s="415">
        <f t="shared" ref="Q328:T328" si="368">+Q337+Q347+Q356</f>
        <v>40006</v>
      </c>
      <c r="R328" s="415">
        <f t="shared" si="368"/>
        <v>17308</v>
      </c>
      <c r="S328" s="415">
        <f t="shared" si="368"/>
        <v>3237</v>
      </c>
      <c r="T328" s="415">
        <f t="shared" si="368"/>
        <v>0</v>
      </c>
      <c r="U328" s="415">
        <f t="shared" ref="U328:W328" si="369">+U337+U347</f>
        <v>0</v>
      </c>
      <c r="V328" s="415">
        <f t="shared" si="369"/>
        <v>0</v>
      </c>
      <c r="W328" s="415">
        <f t="shared" si="369"/>
        <v>0</v>
      </c>
      <c r="X328" s="416">
        <f>SUM(P328:T328)</f>
        <v>9067833</v>
      </c>
      <c r="Y328" s="4148"/>
      <c r="Z328" s="1234"/>
      <c r="AA328" s="1234"/>
    </row>
    <row r="329" spans="1:27" s="1236" customFormat="1" ht="13.5" customHeight="1">
      <c r="A329" s="4144"/>
      <c r="B329" s="420" t="s">
        <v>121</v>
      </c>
      <c r="C329" s="421"/>
      <c r="D329" s="610">
        <f>+D330</f>
        <v>384389</v>
      </c>
      <c r="E329" s="610">
        <f t="shared" ref="E329:W329" si="370">+E330</f>
        <v>0</v>
      </c>
      <c r="F329" s="610">
        <f t="shared" si="370"/>
        <v>0</v>
      </c>
      <c r="G329" s="610">
        <f t="shared" si="370"/>
        <v>0</v>
      </c>
      <c r="H329" s="610">
        <f t="shared" si="370"/>
        <v>0</v>
      </c>
      <c r="I329" s="610">
        <f t="shared" si="370"/>
        <v>0</v>
      </c>
      <c r="J329" s="610">
        <f t="shared" si="370"/>
        <v>0</v>
      </c>
      <c r="K329" s="610">
        <f t="shared" si="370"/>
        <v>0</v>
      </c>
      <c r="L329" s="610">
        <f t="shared" si="370"/>
        <v>0</v>
      </c>
      <c r="M329" s="610">
        <f t="shared" si="370"/>
        <v>0</v>
      </c>
      <c r="N329" s="610">
        <f t="shared" si="370"/>
        <v>0</v>
      </c>
      <c r="O329" s="610">
        <f t="shared" si="370"/>
        <v>0</v>
      </c>
      <c r="P329" s="610">
        <f t="shared" si="370"/>
        <v>41264</v>
      </c>
      <c r="Q329" s="610">
        <f t="shared" si="370"/>
        <v>226700</v>
      </c>
      <c r="R329" s="610">
        <f t="shared" si="370"/>
        <v>98077</v>
      </c>
      <c r="S329" s="610">
        <f t="shared" si="370"/>
        <v>18348</v>
      </c>
      <c r="T329" s="610">
        <f t="shared" si="370"/>
        <v>0</v>
      </c>
      <c r="U329" s="610">
        <f t="shared" si="370"/>
        <v>0</v>
      </c>
      <c r="V329" s="610">
        <f t="shared" si="370"/>
        <v>0</v>
      </c>
      <c r="W329" s="610">
        <f t="shared" si="370"/>
        <v>0</v>
      </c>
      <c r="X329" s="509">
        <f>+X330</f>
        <v>384389</v>
      </c>
      <c r="Y329" s="4148"/>
      <c r="AA329" s="1234"/>
    </row>
    <row r="330" spans="1:27" s="1235" customFormat="1" ht="12.75" customHeight="1">
      <c r="A330" s="4144"/>
      <c r="B330" s="431" t="s">
        <v>32</v>
      </c>
      <c r="C330" s="432"/>
      <c r="D330" s="415">
        <f>+D339+D349+D361</f>
        <v>384389</v>
      </c>
      <c r="E330" s="415">
        <f t="shared" ref="E330:T330" si="371">+E339+E349</f>
        <v>0</v>
      </c>
      <c r="F330" s="415">
        <f t="shared" si="371"/>
        <v>0</v>
      </c>
      <c r="G330" s="415">
        <f t="shared" si="371"/>
        <v>0</v>
      </c>
      <c r="H330" s="415">
        <f t="shared" si="371"/>
        <v>0</v>
      </c>
      <c r="I330" s="415">
        <f t="shared" si="371"/>
        <v>0</v>
      </c>
      <c r="J330" s="415">
        <f t="shared" si="371"/>
        <v>0</v>
      </c>
      <c r="K330" s="415">
        <f t="shared" si="371"/>
        <v>0</v>
      </c>
      <c r="L330" s="415">
        <f t="shared" si="371"/>
        <v>0</v>
      </c>
      <c r="M330" s="415">
        <f t="shared" si="371"/>
        <v>0</v>
      </c>
      <c r="N330" s="415">
        <f t="shared" si="371"/>
        <v>0</v>
      </c>
      <c r="O330" s="415">
        <f t="shared" si="371"/>
        <v>0</v>
      </c>
      <c r="P330" s="415">
        <f>+P339+P349+P361</f>
        <v>41264</v>
      </c>
      <c r="Q330" s="415">
        <f>+Q339+Q349+Q361</f>
        <v>226700</v>
      </c>
      <c r="R330" s="415">
        <f t="shared" ref="R330:S330" si="372">+R339+R349+R361</f>
        <v>98077</v>
      </c>
      <c r="S330" s="415">
        <f t="shared" si="372"/>
        <v>18348</v>
      </c>
      <c r="T330" s="415">
        <f t="shared" si="371"/>
        <v>0</v>
      </c>
      <c r="U330" s="415">
        <f t="shared" ref="U330:W330" si="373">+U339+U349</f>
        <v>0</v>
      </c>
      <c r="V330" s="415">
        <f t="shared" si="373"/>
        <v>0</v>
      </c>
      <c r="W330" s="415">
        <f t="shared" si="373"/>
        <v>0</v>
      </c>
      <c r="X330" s="416">
        <f>SUM(P330:T330)</f>
        <v>384389</v>
      </c>
      <c r="Y330" s="4148"/>
      <c r="Z330" s="1234"/>
      <c r="AA330" s="1234"/>
    </row>
    <row r="331" spans="1:27" s="1235" customFormat="1" ht="12" customHeight="1">
      <c r="A331" s="4145"/>
      <c r="B331" s="381" t="s">
        <v>34</v>
      </c>
      <c r="C331" s="382"/>
      <c r="D331" s="485">
        <f>+D332</f>
        <v>8034389</v>
      </c>
      <c r="E331" s="485">
        <f t="shared" ref="E331:U332" si="374">+E332</f>
        <v>0</v>
      </c>
      <c r="F331" s="485">
        <f t="shared" si="374"/>
        <v>0</v>
      </c>
      <c r="G331" s="485">
        <f t="shared" si="374"/>
        <v>0</v>
      </c>
      <c r="H331" s="485">
        <f t="shared" si="374"/>
        <v>0</v>
      </c>
      <c r="I331" s="485">
        <f t="shared" si="374"/>
        <v>0</v>
      </c>
      <c r="J331" s="485">
        <f t="shared" si="374"/>
        <v>0</v>
      </c>
      <c r="K331" s="485">
        <f t="shared" si="374"/>
        <v>0</v>
      </c>
      <c r="L331" s="485">
        <f t="shared" si="374"/>
        <v>0</v>
      </c>
      <c r="M331" s="485">
        <f t="shared" si="374"/>
        <v>0</v>
      </c>
      <c r="N331" s="485">
        <f t="shared" si="374"/>
        <v>0</v>
      </c>
      <c r="O331" s="485">
        <f t="shared" si="374"/>
        <v>0</v>
      </c>
      <c r="P331" s="485">
        <f t="shared" si="374"/>
        <v>2550000</v>
      </c>
      <c r="Q331" s="485">
        <f t="shared" si="374"/>
        <v>5120632</v>
      </c>
      <c r="R331" s="485">
        <f t="shared" si="374"/>
        <v>133982</v>
      </c>
      <c r="S331" s="485">
        <f t="shared" si="374"/>
        <v>229775</v>
      </c>
      <c r="T331" s="485">
        <f t="shared" si="374"/>
        <v>0</v>
      </c>
      <c r="U331" s="485">
        <f t="shared" si="374"/>
        <v>0</v>
      </c>
      <c r="V331" s="485">
        <f t="shared" ref="U331:W332" si="375">+V332</f>
        <v>0</v>
      </c>
      <c r="W331" s="485">
        <f t="shared" si="375"/>
        <v>0</v>
      </c>
      <c r="X331" s="4008" t="s">
        <v>35</v>
      </c>
      <c r="Y331" s="611"/>
      <c r="Z331" s="1234"/>
    </row>
    <row r="332" spans="1:27" s="1235" customFormat="1" ht="12.75" customHeight="1">
      <c r="A332" s="4145"/>
      <c r="B332" s="612" t="s">
        <v>30</v>
      </c>
      <c r="C332" s="613"/>
      <c r="D332" s="614">
        <f>+D333</f>
        <v>8034389</v>
      </c>
      <c r="E332" s="614">
        <f t="shared" si="374"/>
        <v>0</v>
      </c>
      <c r="F332" s="614">
        <f t="shared" si="374"/>
        <v>0</v>
      </c>
      <c r="G332" s="614">
        <f t="shared" si="374"/>
        <v>0</v>
      </c>
      <c r="H332" s="614">
        <f t="shared" si="374"/>
        <v>0</v>
      </c>
      <c r="I332" s="614">
        <f t="shared" si="374"/>
        <v>0</v>
      </c>
      <c r="J332" s="614">
        <f>+J333</f>
        <v>0</v>
      </c>
      <c r="K332" s="614">
        <f t="shared" si="374"/>
        <v>0</v>
      </c>
      <c r="L332" s="614">
        <f t="shared" si="374"/>
        <v>0</v>
      </c>
      <c r="M332" s="614">
        <f t="shared" si="374"/>
        <v>0</v>
      </c>
      <c r="N332" s="614">
        <f t="shared" si="374"/>
        <v>0</v>
      </c>
      <c r="O332" s="614">
        <f t="shared" si="374"/>
        <v>0</v>
      </c>
      <c r="P332" s="614">
        <f t="shared" si="374"/>
        <v>2550000</v>
      </c>
      <c r="Q332" s="614">
        <f t="shared" si="374"/>
        <v>5120632</v>
      </c>
      <c r="R332" s="614">
        <f t="shared" si="374"/>
        <v>133982</v>
      </c>
      <c r="S332" s="614">
        <f t="shared" si="374"/>
        <v>229775</v>
      </c>
      <c r="T332" s="614">
        <f t="shared" si="374"/>
        <v>0</v>
      </c>
      <c r="U332" s="614">
        <f t="shared" si="375"/>
        <v>0</v>
      </c>
      <c r="V332" s="614">
        <f t="shared" si="375"/>
        <v>0</v>
      </c>
      <c r="W332" s="614">
        <f t="shared" si="375"/>
        <v>0</v>
      </c>
      <c r="X332" s="4009"/>
      <c r="Y332" s="1763"/>
      <c r="Z332" s="1234"/>
    </row>
    <row r="333" spans="1:27" s="1235" customFormat="1" ht="13.5" customHeight="1" thickBot="1">
      <c r="A333" s="4146"/>
      <c r="B333" s="615" t="s">
        <v>32</v>
      </c>
      <c r="C333" s="616"/>
      <c r="D333" s="617">
        <f>+D342+D352+D367</f>
        <v>8034389</v>
      </c>
      <c r="E333" s="617">
        <f t="shared" ref="E333:O333" si="376">+E342+E352</f>
        <v>0</v>
      </c>
      <c r="F333" s="617">
        <f t="shared" si="376"/>
        <v>0</v>
      </c>
      <c r="G333" s="617">
        <f t="shared" si="376"/>
        <v>0</v>
      </c>
      <c r="H333" s="617">
        <f t="shared" si="376"/>
        <v>0</v>
      </c>
      <c r="I333" s="617">
        <f t="shared" si="376"/>
        <v>0</v>
      </c>
      <c r="J333" s="617">
        <f t="shared" si="376"/>
        <v>0</v>
      </c>
      <c r="K333" s="617">
        <f t="shared" si="376"/>
        <v>0</v>
      </c>
      <c r="L333" s="617">
        <f t="shared" si="376"/>
        <v>0</v>
      </c>
      <c r="M333" s="617">
        <f t="shared" si="376"/>
        <v>0</v>
      </c>
      <c r="N333" s="617">
        <f t="shared" si="376"/>
        <v>0</v>
      </c>
      <c r="O333" s="617">
        <f t="shared" si="376"/>
        <v>0</v>
      </c>
      <c r="P333" s="617">
        <f>+P342+P352+P367</f>
        <v>2550000</v>
      </c>
      <c r="Q333" s="617">
        <f>+Q342+Q352+Q367</f>
        <v>5120632</v>
      </c>
      <c r="R333" s="617">
        <f t="shared" ref="R333:T333" si="377">+R342+R352+R367</f>
        <v>133982</v>
      </c>
      <c r="S333" s="617">
        <f t="shared" si="377"/>
        <v>229775</v>
      </c>
      <c r="T333" s="617">
        <f t="shared" si="377"/>
        <v>0</v>
      </c>
      <c r="U333" s="617">
        <f t="shared" ref="U333:W333" si="378">+U342+U352</f>
        <v>0</v>
      </c>
      <c r="V333" s="617">
        <f t="shared" si="378"/>
        <v>0</v>
      </c>
      <c r="W333" s="617">
        <f t="shared" si="378"/>
        <v>0</v>
      </c>
      <c r="X333" s="4010"/>
      <c r="Y333" s="618"/>
      <c r="Z333" s="1234">
        <f>D333-D330</f>
        <v>7650000</v>
      </c>
    </row>
    <row r="334" spans="1:27" hidden="1">
      <c r="A334" s="4091"/>
      <c r="B334" s="1425"/>
      <c r="C334" s="441" t="s">
        <v>98</v>
      </c>
      <c r="D334" s="624"/>
      <c r="E334" s="443"/>
      <c r="F334" s="444"/>
      <c r="G334" s="444"/>
      <c r="H334" s="443"/>
      <c r="I334" s="443"/>
      <c r="J334" s="443"/>
      <c r="K334" s="443"/>
      <c r="L334" s="443"/>
      <c r="M334" s="443"/>
      <c r="N334" s="443"/>
      <c r="O334" s="443"/>
      <c r="P334" s="445"/>
      <c r="Q334" s="445"/>
      <c r="R334" s="445"/>
      <c r="S334" s="1438"/>
      <c r="T334" s="444"/>
      <c r="U334" s="1438"/>
      <c r="V334" s="1438"/>
      <c r="W334" s="1438"/>
      <c r="X334" s="1439"/>
      <c r="Y334" s="4034" t="s">
        <v>122</v>
      </c>
    </row>
    <row r="335" spans="1:27" hidden="1">
      <c r="A335" s="4071"/>
      <c r="B335" s="381" t="s">
        <v>22</v>
      </c>
      <c r="C335" s="382"/>
      <c r="D335" s="619">
        <f>+D336+D338</f>
        <v>0</v>
      </c>
      <c r="E335" s="619">
        <f t="shared" ref="E335:P335" si="379">+E336+E338</f>
        <v>0</v>
      </c>
      <c r="F335" s="619">
        <f t="shared" si="379"/>
        <v>0</v>
      </c>
      <c r="G335" s="619">
        <f t="shared" si="379"/>
        <v>0</v>
      </c>
      <c r="H335" s="619">
        <f t="shared" si="379"/>
        <v>0</v>
      </c>
      <c r="I335" s="619">
        <f t="shared" si="379"/>
        <v>0</v>
      </c>
      <c r="J335" s="619">
        <f t="shared" si="379"/>
        <v>0</v>
      </c>
      <c r="K335" s="619">
        <f t="shared" si="379"/>
        <v>0</v>
      </c>
      <c r="L335" s="619">
        <f t="shared" si="379"/>
        <v>0</v>
      </c>
      <c r="M335" s="619">
        <f t="shared" ref="M335" si="380">+M336+M338</f>
        <v>0</v>
      </c>
      <c r="N335" s="619">
        <f t="shared" si="379"/>
        <v>0</v>
      </c>
      <c r="O335" s="619">
        <f t="shared" si="379"/>
        <v>0</v>
      </c>
      <c r="P335" s="619">
        <f t="shared" si="379"/>
        <v>0</v>
      </c>
      <c r="Q335" s="619"/>
      <c r="R335" s="619"/>
      <c r="S335" s="619"/>
      <c r="T335" s="619"/>
      <c r="U335" s="619"/>
      <c r="V335" s="619"/>
      <c r="W335" s="619"/>
      <c r="X335" s="487">
        <f>+X336+X338</f>
        <v>0</v>
      </c>
      <c r="Y335" s="4035"/>
    </row>
    <row r="336" spans="1:27" hidden="1">
      <c r="A336" s="4071"/>
      <c r="B336" s="533" t="s">
        <v>36</v>
      </c>
      <c r="C336" s="4129" t="s">
        <v>101</v>
      </c>
      <c r="D336" s="622">
        <f>+D337</f>
        <v>0</v>
      </c>
      <c r="E336" s="622">
        <f t="shared" ref="E336:P336" si="381">+E337</f>
        <v>0</v>
      </c>
      <c r="F336" s="622">
        <f t="shared" si="381"/>
        <v>0</v>
      </c>
      <c r="G336" s="622">
        <f t="shared" si="381"/>
        <v>0</v>
      </c>
      <c r="H336" s="622">
        <f t="shared" si="381"/>
        <v>0</v>
      </c>
      <c r="I336" s="622">
        <f t="shared" si="381"/>
        <v>0</v>
      </c>
      <c r="J336" s="622">
        <f t="shared" si="381"/>
        <v>0</v>
      </c>
      <c r="K336" s="622">
        <f t="shared" si="381"/>
        <v>0</v>
      </c>
      <c r="L336" s="622">
        <f t="shared" si="381"/>
        <v>0</v>
      </c>
      <c r="M336" s="622">
        <f t="shared" si="381"/>
        <v>0</v>
      </c>
      <c r="N336" s="622">
        <f t="shared" si="381"/>
        <v>0</v>
      </c>
      <c r="O336" s="622">
        <f t="shared" si="381"/>
        <v>0</v>
      </c>
      <c r="P336" s="622">
        <f t="shared" si="381"/>
        <v>0</v>
      </c>
      <c r="Q336" s="622"/>
      <c r="R336" s="622"/>
      <c r="S336" s="622"/>
      <c r="T336" s="622"/>
      <c r="U336" s="622"/>
      <c r="V336" s="622"/>
      <c r="W336" s="622"/>
      <c r="X336" s="509">
        <f>+X337</f>
        <v>0</v>
      </c>
      <c r="Y336" s="4035"/>
    </row>
    <row r="337" spans="1:26" hidden="1">
      <c r="A337" s="4071"/>
      <c r="B337" s="534" t="s">
        <v>24</v>
      </c>
      <c r="C337" s="4121"/>
      <c r="D337" s="456">
        <f t="shared" ref="D337" si="382">M337+O337+P337+Q337+R337+S337+T337+U337+V337+W337</f>
        <v>0</v>
      </c>
      <c r="E337" s="463">
        <f>+F337+G337+H337</f>
        <v>0</v>
      </c>
      <c r="F337" s="537">
        <v>0</v>
      </c>
      <c r="G337" s="537">
        <v>0</v>
      </c>
      <c r="H337" s="537">
        <v>0</v>
      </c>
      <c r="I337" s="537"/>
      <c r="J337" s="537"/>
      <c r="K337" s="537"/>
      <c r="L337" s="537">
        <f>47545-47545</f>
        <v>0</v>
      </c>
      <c r="M337" s="457">
        <f>+E337+I337+J337+K337+L337+N337</f>
        <v>0</v>
      </c>
      <c r="N337" s="537">
        <f>57803-57803</f>
        <v>0</v>
      </c>
      <c r="O337" s="537"/>
      <c r="P337" s="537">
        <v>0</v>
      </c>
      <c r="Q337" s="537"/>
      <c r="R337" s="537"/>
      <c r="S337" s="537"/>
      <c r="T337" s="537"/>
      <c r="U337" s="537"/>
      <c r="V337" s="537"/>
      <c r="W337" s="537"/>
      <c r="X337" s="416">
        <f>SUM(P337:T337)</f>
        <v>0</v>
      </c>
      <c r="Y337" s="4035"/>
    </row>
    <row r="338" spans="1:26" ht="12.75" hidden="1" customHeight="1">
      <c r="A338" s="4071"/>
      <c r="B338" s="525" t="s">
        <v>30</v>
      </c>
      <c r="C338" s="4121"/>
      <c r="D338" s="466">
        <f>+D339</f>
        <v>0</v>
      </c>
      <c r="E338" s="466">
        <f t="shared" ref="E338:P338" si="383">+E339</f>
        <v>0</v>
      </c>
      <c r="F338" s="466">
        <f t="shared" si="383"/>
        <v>0</v>
      </c>
      <c r="G338" s="466">
        <f t="shared" si="383"/>
        <v>0</v>
      </c>
      <c r="H338" s="466">
        <f t="shared" si="383"/>
        <v>0</v>
      </c>
      <c r="I338" s="466">
        <f t="shared" si="383"/>
        <v>0</v>
      </c>
      <c r="J338" s="466">
        <f t="shared" si="383"/>
        <v>0</v>
      </c>
      <c r="K338" s="466">
        <f t="shared" si="383"/>
        <v>0</v>
      </c>
      <c r="L338" s="466">
        <f t="shared" si="383"/>
        <v>0</v>
      </c>
      <c r="M338" s="466">
        <f t="shared" si="383"/>
        <v>0</v>
      </c>
      <c r="N338" s="466">
        <f t="shared" si="383"/>
        <v>0</v>
      </c>
      <c r="O338" s="466">
        <f t="shared" si="383"/>
        <v>0</v>
      </c>
      <c r="P338" s="466">
        <f t="shared" si="383"/>
        <v>0</v>
      </c>
      <c r="Q338" s="466"/>
      <c r="R338" s="466"/>
      <c r="S338" s="466"/>
      <c r="T338" s="466"/>
      <c r="U338" s="466"/>
      <c r="V338" s="466"/>
      <c r="W338" s="466"/>
      <c r="X338" s="509">
        <f>+X339</f>
        <v>0</v>
      </c>
      <c r="Y338" s="4035"/>
    </row>
    <row r="339" spans="1:26" hidden="1">
      <c r="A339" s="4071"/>
      <c r="B339" s="470" t="s">
        <v>442</v>
      </c>
      <c r="C339" s="4122"/>
      <c r="D339" s="456">
        <f t="shared" ref="D339" si="384">M339+O339+P339+Q339+R339+S339+T339+U339+V339+W339</f>
        <v>0</v>
      </c>
      <c r="E339" s="463">
        <f>+F339+G339+H339</f>
        <v>0</v>
      </c>
      <c r="F339" s="461">
        <v>0</v>
      </c>
      <c r="G339" s="461">
        <v>0</v>
      </c>
      <c r="H339" s="461">
        <v>0</v>
      </c>
      <c r="I339" s="537"/>
      <c r="J339" s="537"/>
      <c r="K339" s="537">
        <v>0</v>
      </c>
      <c r="L339" s="537">
        <v>0</v>
      </c>
      <c r="M339" s="457"/>
      <c r="N339" s="537">
        <v>0</v>
      </c>
      <c r="O339" s="537">
        <v>0</v>
      </c>
      <c r="P339" s="537"/>
      <c r="Q339" s="537"/>
      <c r="R339" s="537"/>
      <c r="S339" s="537"/>
      <c r="T339" s="537"/>
      <c r="U339" s="537"/>
      <c r="V339" s="537"/>
      <c r="W339" s="537"/>
      <c r="X339" s="416">
        <f>SUM(P339:T339)</f>
        <v>0</v>
      </c>
      <c r="Y339" s="4119"/>
      <c r="Z339" s="1056"/>
    </row>
    <row r="340" spans="1:26" s="1230" customFormat="1" ht="10.5" hidden="1" customHeight="1">
      <c r="A340" s="4117"/>
      <c r="B340" s="381" t="s">
        <v>34</v>
      </c>
      <c r="C340" s="382"/>
      <c r="D340" s="471">
        <f>+D341</f>
        <v>0</v>
      </c>
      <c r="E340" s="471">
        <f t="shared" ref="E340:P341" si="385">+E341</f>
        <v>0</v>
      </c>
      <c r="F340" s="471">
        <f t="shared" si="385"/>
        <v>0</v>
      </c>
      <c r="G340" s="471">
        <f t="shared" si="385"/>
        <v>0</v>
      </c>
      <c r="H340" s="471">
        <f t="shared" si="385"/>
        <v>0</v>
      </c>
      <c r="I340" s="471">
        <f t="shared" si="385"/>
        <v>0</v>
      </c>
      <c r="J340" s="471">
        <f t="shared" si="385"/>
        <v>0</v>
      </c>
      <c r="K340" s="471">
        <f t="shared" si="385"/>
        <v>0</v>
      </c>
      <c r="L340" s="471">
        <f t="shared" si="385"/>
        <v>0</v>
      </c>
      <c r="M340" s="471">
        <f t="shared" si="385"/>
        <v>0</v>
      </c>
      <c r="N340" s="471">
        <f t="shared" si="385"/>
        <v>0</v>
      </c>
      <c r="O340" s="471">
        <f t="shared" si="385"/>
        <v>0</v>
      </c>
      <c r="P340" s="471">
        <f t="shared" si="385"/>
        <v>0</v>
      </c>
      <c r="Q340" s="471"/>
      <c r="R340" s="471"/>
      <c r="S340" s="471"/>
      <c r="T340" s="471"/>
      <c r="U340" s="471"/>
      <c r="V340" s="471"/>
      <c r="W340" s="471"/>
      <c r="X340" s="4008" t="s">
        <v>35</v>
      </c>
      <c r="Y340" s="4149" t="s">
        <v>123</v>
      </c>
    </row>
    <row r="341" spans="1:26" s="1232" customFormat="1" ht="12.75" hidden="1" customHeight="1">
      <c r="A341" s="4117"/>
      <c r="B341" s="525" t="s">
        <v>30</v>
      </c>
      <c r="C341" s="4129" t="s">
        <v>101</v>
      </c>
      <c r="D341" s="518">
        <f>+D342</f>
        <v>0</v>
      </c>
      <c r="E341" s="518">
        <f t="shared" si="385"/>
        <v>0</v>
      </c>
      <c r="F341" s="518">
        <f t="shared" si="385"/>
        <v>0</v>
      </c>
      <c r="G341" s="518">
        <f t="shared" si="385"/>
        <v>0</v>
      </c>
      <c r="H341" s="518">
        <f t="shared" si="385"/>
        <v>0</v>
      </c>
      <c r="I341" s="518">
        <f t="shared" si="385"/>
        <v>0</v>
      </c>
      <c r="J341" s="543">
        <f t="shared" si="385"/>
        <v>0</v>
      </c>
      <c r="K341" s="543">
        <f t="shared" si="385"/>
        <v>0</v>
      </c>
      <c r="L341" s="543">
        <f t="shared" si="385"/>
        <v>0</v>
      </c>
      <c r="M341" s="543">
        <f t="shared" si="385"/>
        <v>0</v>
      </c>
      <c r="N341" s="518">
        <f t="shared" si="385"/>
        <v>0</v>
      </c>
      <c r="O341" s="543">
        <f t="shared" si="385"/>
        <v>0</v>
      </c>
      <c r="P341" s="518">
        <f t="shared" si="385"/>
        <v>0</v>
      </c>
      <c r="Q341" s="518"/>
      <c r="R341" s="518"/>
      <c r="S341" s="518"/>
      <c r="T341" s="518"/>
      <c r="U341" s="518"/>
      <c r="V341" s="518"/>
      <c r="W341" s="518"/>
      <c r="X341" s="4009"/>
      <c r="Y341" s="4124"/>
    </row>
    <row r="342" spans="1:26" s="1230" customFormat="1" ht="12" hidden="1" customHeight="1" thickBot="1">
      <c r="A342" s="4118"/>
      <c r="B342" s="580" t="s">
        <v>32</v>
      </c>
      <c r="C342" s="4126"/>
      <c r="D342" s="456">
        <f t="shared" ref="D342" si="386">M342+O342+P342+Q342+R342+S342+T342+U342+V342+W342</f>
        <v>0</v>
      </c>
      <c r="E342" s="499">
        <f>+F342+G342+H342</f>
        <v>0</v>
      </c>
      <c r="F342" s="562">
        <v>0</v>
      </c>
      <c r="G342" s="563">
        <v>0</v>
      </c>
      <c r="H342" s="564">
        <v>0</v>
      </c>
      <c r="I342" s="1420">
        <v>0</v>
      </c>
      <c r="J342" s="563"/>
      <c r="K342" s="563"/>
      <c r="L342" s="563"/>
      <c r="M342" s="457">
        <f>+E342+I342+J342+K342+L342+N342</f>
        <v>0</v>
      </c>
      <c r="N342" s="562">
        <v>0</v>
      </c>
      <c r="O342" s="563">
        <v>0</v>
      </c>
      <c r="P342" s="563">
        <v>0</v>
      </c>
      <c r="Q342" s="563"/>
      <c r="R342" s="563"/>
      <c r="S342" s="563"/>
      <c r="T342" s="563"/>
      <c r="U342" s="563"/>
      <c r="V342" s="563"/>
      <c r="W342" s="563"/>
      <c r="X342" s="4010"/>
      <c r="Y342" s="4125"/>
    </row>
    <row r="343" spans="1:26" s="1230" customFormat="1" ht="20.25" customHeight="1" thickBot="1">
      <c r="A343" s="1440"/>
      <c r="B343" s="1412" t="s">
        <v>444</v>
      </c>
      <c r="C343" s="959"/>
      <c r="D343" s="1441"/>
      <c r="E343" s="960"/>
      <c r="F343" s="1442"/>
      <c r="G343" s="1442"/>
      <c r="H343" s="1443"/>
      <c r="I343" s="1444"/>
      <c r="J343" s="954"/>
      <c r="K343" s="954"/>
      <c r="L343" s="954"/>
      <c r="M343" s="957"/>
      <c r="N343" s="1442"/>
      <c r="O343" s="954"/>
      <c r="P343" s="1445"/>
      <c r="Q343" s="1445"/>
      <c r="R343" s="1445"/>
      <c r="S343" s="953"/>
      <c r="T343" s="1442"/>
      <c r="U343" s="953"/>
      <c r="V343" s="953"/>
      <c r="W343" s="953"/>
      <c r="X343" s="1446"/>
      <c r="Y343" s="1447"/>
    </row>
    <row r="344" spans="1:26" ht="28.5" customHeight="1">
      <c r="A344" s="4091" t="s">
        <v>603</v>
      </c>
      <c r="B344" s="1425" t="s">
        <v>529</v>
      </c>
      <c r="C344" s="441" t="s">
        <v>98</v>
      </c>
      <c r="D344" s="624"/>
      <c r="E344" s="443"/>
      <c r="F344" s="444"/>
      <c r="G344" s="444"/>
      <c r="H344" s="443"/>
      <c r="I344" s="443"/>
      <c r="J344" s="443"/>
      <c r="K344" s="443"/>
      <c r="L344" s="443"/>
      <c r="M344" s="443"/>
      <c r="N344" s="443"/>
      <c r="O344" s="443"/>
      <c r="P344" s="445"/>
      <c r="Q344" s="445"/>
      <c r="R344" s="445"/>
      <c r="S344" s="1144"/>
      <c r="T344" s="444"/>
      <c r="U344" s="1144"/>
      <c r="V344" s="1144"/>
      <c r="W344" s="1144"/>
      <c r="X344" s="484"/>
      <c r="Y344" s="4034" t="s">
        <v>122</v>
      </c>
    </row>
    <row r="345" spans="1:26">
      <c r="A345" s="4071"/>
      <c r="B345" s="381" t="s">
        <v>22</v>
      </c>
      <c r="C345" s="382"/>
      <c r="D345" s="3198">
        <f>+D346+D348</f>
        <v>9000000</v>
      </c>
      <c r="E345" s="3198">
        <f t="shared" ref="E345:P345" si="387">+E346+E348</f>
        <v>0</v>
      </c>
      <c r="F345" s="3198">
        <f t="shared" si="387"/>
        <v>0</v>
      </c>
      <c r="G345" s="3198">
        <f t="shared" si="387"/>
        <v>0</v>
      </c>
      <c r="H345" s="3198">
        <f t="shared" si="387"/>
        <v>0</v>
      </c>
      <c r="I345" s="3198">
        <f t="shared" si="387"/>
        <v>0</v>
      </c>
      <c r="J345" s="3198">
        <f t="shared" si="387"/>
        <v>0</v>
      </c>
      <c r="K345" s="3198">
        <f t="shared" si="387"/>
        <v>0</v>
      </c>
      <c r="L345" s="3198">
        <f t="shared" si="387"/>
        <v>0</v>
      </c>
      <c r="M345" s="3198">
        <f t="shared" si="387"/>
        <v>0</v>
      </c>
      <c r="N345" s="3198">
        <f t="shared" si="387"/>
        <v>0</v>
      </c>
      <c r="O345" s="3198">
        <f t="shared" si="387"/>
        <v>0</v>
      </c>
      <c r="P345" s="3198">
        <f t="shared" si="387"/>
        <v>9000000</v>
      </c>
      <c r="Q345" s="3198"/>
      <c r="R345" s="3198"/>
      <c r="S345" s="3198"/>
      <c r="T345" s="3198"/>
      <c r="U345" s="3198"/>
      <c r="V345" s="3198"/>
      <c r="W345" s="3198"/>
      <c r="X345" s="2363">
        <f>+X346+X348</f>
        <v>9000000</v>
      </c>
      <c r="Y345" s="4035"/>
    </row>
    <row r="346" spans="1:26">
      <c r="A346" s="4071"/>
      <c r="B346" s="533" t="s">
        <v>36</v>
      </c>
      <c r="C346" s="4120" t="s">
        <v>101</v>
      </c>
      <c r="D346" s="3199">
        <f>+D347</f>
        <v>9000000</v>
      </c>
      <c r="E346" s="3199">
        <f t="shared" ref="E346:P346" si="388">+E347</f>
        <v>0</v>
      </c>
      <c r="F346" s="3199">
        <f t="shared" si="388"/>
        <v>0</v>
      </c>
      <c r="G346" s="3199">
        <f t="shared" si="388"/>
        <v>0</v>
      </c>
      <c r="H346" s="3199">
        <f t="shared" si="388"/>
        <v>0</v>
      </c>
      <c r="I346" s="3199">
        <f t="shared" si="388"/>
        <v>0</v>
      </c>
      <c r="J346" s="3199">
        <f t="shared" si="388"/>
        <v>0</v>
      </c>
      <c r="K346" s="3199">
        <f t="shared" si="388"/>
        <v>0</v>
      </c>
      <c r="L346" s="3199">
        <f t="shared" si="388"/>
        <v>0</v>
      </c>
      <c r="M346" s="3199">
        <f t="shared" si="388"/>
        <v>0</v>
      </c>
      <c r="N346" s="3199">
        <f t="shared" si="388"/>
        <v>0</v>
      </c>
      <c r="O346" s="3199">
        <f t="shared" si="388"/>
        <v>0</v>
      </c>
      <c r="P346" s="3199">
        <f t="shared" si="388"/>
        <v>9000000</v>
      </c>
      <c r="Q346" s="3199"/>
      <c r="R346" s="3199"/>
      <c r="S346" s="3199"/>
      <c r="T346" s="3199"/>
      <c r="U346" s="3199"/>
      <c r="V346" s="3199"/>
      <c r="W346" s="3199"/>
      <c r="X346" s="3165">
        <f>+X347</f>
        <v>9000000</v>
      </c>
      <c r="Y346" s="4035"/>
    </row>
    <row r="347" spans="1:26">
      <c r="A347" s="4071"/>
      <c r="B347" s="534" t="s">
        <v>24</v>
      </c>
      <c r="C347" s="4121"/>
      <c r="D347" s="3166">
        <f t="shared" ref="D347" si="389">M347+O347+P347+Q347+R347+S347+T347+U347+V347+W347</f>
        <v>9000000</v>
      </c>
      <c r="E347" s="2368">
        <f>+F347+G347+H347</f>
        <v>0</v>
      </c>
      <c r="F347" s="3169">
        <v>0</v>
      </c>
      <c r="G347" s="3169">
        <v>0</v>
      </c>
      <c r="H347" s="3169">
        <v>0</v>
      </c>
      <c r="I347" s="3169"/>
      <c r="J347" s="3169"/>
      <c r="K347" s="3169"/>
      <c r="L347" s="3169">
        <f>47545-47545</f>
        <v>0</v>
      </c>
      <c r="M347" s="3168">
        <f>+E347+I347+J347+K347+L347+N347</f>
        <v>0</v>
      </c>
      <c r="N347" s="3169">
        <f>57803-57803</f>
        <v>0</v>
      </c>
      <c r="O347" s="3169"/>
      <c r="P347" s="3169">
        <v>9000000</v>
      </c>
      <c r="Q347" s="3169"/>
      <c r="R347" s="3169"/>
      <c r="S347" s="3169"/>
      <c r="T347" s="3169"/>
      <c r="U347" s="3169"/>
      <c r="V347" s="3169"/>
      <c r="W347" s="3169"/>
      <c r="X347" s="3170">
        <f>SUM(P347:T347)</f>
        <v>9000000</v>
      </c>
      <c r="Y347" s="4035"/>
    </row>
    <row r="348" spans="1:26">
      <c r="A348" s="4071"/>
      <c r="B348" s="525" t="s">
        <v>30</v>
      </c>
      <c r="C348" s="4121"/>
      <c r="D348" s="3171">
        <f>+D349</f>
        <v>0</v>
      </c>
      <c r="E348" s="3171">
        <f t="shared" ref="E348:P348" si="390">+E349</f>
        <v>0</v>
      </c>
      <c r="F348" s="3171">
        <f t="shared" si="390"/>
        <v>0</v>
      </c>
      <c r="G348" s="3171">
        <f t="shared" si="390"/>
        <v>0</v>
      </c>
      <c r="H348" s="3171">
        <f t="shared" si="390"/>
        <v>0</v>
      </c>
      <c r="I348" s="3171">
        <f t="shared" si="390"/>
        <v>0</v>
      </c>
      <c r="J348" s="3171">
        <f t="shared" si="390"/>
        <v>0</v>
      </c>
      <c r="K348" s="3171">
        <f t="shared" si="390"/>
        <v>0</v>
      </c>
      <c r="L348" s="3171">
        <f t="shared" si="390"/>
        <v>0</v>
      </c>
      <c r="M348" s="3171">
        <f t="shared" si="390"/>
        <v>0</v>
      </c>
      <c r="N348" s="3171">
        <f t="shared" si="390"/>
        <v>0</v>
      </c>
      <c r="O348" s="3171">
        <f t="shared" si="390"/>
        <v>0</v>
      </c>
      <c r="P348" s="3171">
        <f t="shared" si="390"/>
        <v>0</v>
      </c>
      <c r="Q348" s="3171"/>
      <c r="R348" s="3171"/>
      <c r="S348" s="3171"/>
      <c r="T348" s="3171"/>
      <c r="U348" s="3171"/>
      <c r="V348" s="3171"/>
      <c r="W348" s="3171"/>
      <c r="X348" s="3165">
        <f>+X349</f>
        <v>0</v>
      </c>
      <c r="Y348" s="4035"/>
    </row>
    <row r="349" spans="1:26">
      <c r="A349" s="4071"/>
      <c r="B349" s="3200" t="s">
        <v>442</v>
      </c>
      <c r="C349" s="4122"/>
      <c r="D349" s="3166">
        <f t="shared" ref="D349" si="391">M349+O349+P349+Q349+R349+S349+T349+U349+V349+W349</f>
        <v>0</v>
      </c>
      <c r="E349" s="2368">
        <f>+F349+G349+H349</f>
        <v>0</v>
      </c>
      <c r="F349" s="3173">
        <v>0</v>
      </c>
      <c r="G349" s="3173">
        <v>0</v>
      </c>
      <c r="H349" s="3173">
        <v>0</v>
      </c>
      <c r="I349" s="3169"/>
      <c r="J349" s="3169"/>
      <c r="K349" s="3169">
        <v>0</v>
      </c>
      <c r="L349" s="3169">
        <v>0</v>
      </c>
      <c r="M349" s="3168">
        <f>+E349+I349+J349+K349+L349+N349</f>
        <v>0</v>
      </c>
      <c r="N349" s="3169">
        <v>0</v>
      </c>
      <c r="O349" s="3169">
        <v>0</v>
      </c>
      <c r="P349" s="3169">
        <v>0</v>
      </c>
      <c r="Q349" s="3169"/>
      <c r="R349" s="3169"/>
      <c r="S349" s="3169"/>
      <c r="T349" s="3169"/>
      <c r="U349" s="3169"/>
      <c r="V349" s="3169"/>
      <c r="W349" s="3169"/>
      <c r="X349" s="3170">
        <f>SUM(P349:T349)</f>
        <v>0</v>
      </c>
      <c r="Y349" s="4119"/>
      <c r="Z349" s="1056"/>
    </row>
    <row r="350" spans="1:26" s="1230" customFormat="1">
      <c r="A350" s="4117"/>
      <c r="B350" s="381" t="s">
        <v>34</v>
      </c>
      <c r="C350" s="382"/>
      <c r="D350" s="3176">
        <f>+D351</f>
        <v>7650000</v>
      </c>
      <c r="E350" s="3176">
        <f t="shared" ref="E350:Q351" si="392">+E351</f>
        <v>0</v>
      </c>
      <c r="F350" s="3176">
        <f t="shared" si="392"/>
        <v>0</v>
      </c>
      <c r="G350" s="3176">
        <f t="shared" si="392"/>
        <v>0</v>
      </c>
      <c r="H350" s="3176">
        <f t="shared" si="392"/>
        <v>0</v>
      </c>
      <c r="I350" s="3176">
        <f t="shared" si="392"/>
        <v>0</v>
      </c>
      <c r="J350" s="3176">
        <f t="shared" si="392"/>
        <v>0</v>
      </c>
      <c r="K350" s="3176">
        <f t="shared" si="392"/>
        <v>0</v>
      </c>
      <c r="L350" s="3176">
        <f t="shared" si="392"/>
        <v>0</v>
      </c>
      <c r="M350" s="3176">
        <f t="shared" si="392"/>
        <v>0</v>
      </c>
      <c r="N350" s="3176">
        <f t="shared" si="392"/>
        <v>0</v>
      </c>
      <c r="O350" s="3176">
        <f t="shared" si="392"/>
        <v>0</v>
      </c>
      <c r="P350" s="3176">
        <f t="shared" si="392"/>
        <v>2550000</v>
      </c>
      <c r="Q350" s="3176">
        <f t="shared" si="392"/>
        <v>5100000</v>
      </c>
      <c r="R350" s="3176"/>
      <c r="S350" s="3176"/>
      <c r="T350" s="3176"/>
      <c r="U350" s="3176"/>
      <c r="V350" s="3176"/>
      <c r="W350" s="3176"/>
      <c r="X350" s="4011" t="s">
        <v>35</v>
      </c>
      <c r="Y350" s="4123" t="s">
        <v>123</v>
      </c>
    </row>
    <row r="351" spans="1:26" s="1232" customFormat="1" ht="12.75" customHeight="1">
      <c r="A351" s="4117"/>
      <c r="B351" s="525" t="s">
        <v>30</v>
      </c>
      <c r="C351" s="4120" t="s">
        <v>101</v>
      </c>
      <c r="D351" s="3178">
        <f>+D352</f>
        <v>7650000</v>
      </c>
      <c r="E351" s="3178">
        <f t="shared" si="392"/>
        <v>0</v>
      </c>
      <c r="F351" s="3178">
        <f t="shared" si="392"/>
        <v>0</v>
      </c>
      <c r="G351" s="3178">
        <f t="shared" si="392"/>
        <v>0</v>
      </c>
      <c r="H351" s="3178">
        <f t="shared" si="392"/>
        <v>0</v>
      </c>
      <c r="I351" s="3178">
        <f t="shared" si="392"/>
        <v>0</v>
      </c>
      <c r="J351" s="3201">
        <f t="shared" si="392"/>
        <v>0</v>
      </c>
      <c r="K351" s="3201">
        <f t="shared" si="392"/>
        <v>0</v>
      </c>
      <c r="L351" s="3201">
        <f t="shared" si="392"/>
        <v>0</v>
      </c>
      <c r="M351" s="3201">
        <f t="shared" si="392"/>
        <v>0</v>
      </c>
      <c r="N351" s="3178">
        <f t="shared" si="392"/>
        <v>0</v>
      </c>
      <c r="O351" s="3201">
        <f t="shared" si="392"/>
        <v>0</v>
      </c>
      <c r="P351" s="3178">
        <f t="shared" si="392"/>
        <v>2550000</v>
      </c>
      <c r="Q351" s="3178">
        <f t="shared" si="392"/>
        <v>5100000</v>
      </c>
      <c r="R351" s="3178"/>
      <c r="S351" s="3178"/>
      <c r="T351" s="3178"/>
      <c r="U351" s="3178"/>
      <c r="V351" s="3178"/>
      <c r="W351" s="3178"/>
      <c r="X351" s="4009"/>
      <c r="Y351" s="4124"/>
    </row>
    <row r="352" spans="1:26" s="1230" customFormat="1" ht="12" customHeight="1" thickBot="1">
      <c r="A352" s="4118"/>
      <c r="B352" s="580" t="s">
        <v>32</v>
      </c>
      <c r="C352" s="4126"/>
      <c r="D352" s="1652">
        <f t="shared" ref="D352" si="393">M352+O352+P352+Q352+R352+S352+T352+U352+V352+W352</f>
        <v>7650000</v>
      </c>
      <c r="E352" s="499">
        <f>+F352+G352+H352</f>
        <v>0</v>
      </c>
      <c r="F352" s="562">
        <v>0</v>
      </c>
      <c r="G352" s="563">
        <v>0</v>
      </c>
      <c r="H352" s="564">
        <v>0</v>
      </c>
      <c r="I352" s="1420">
        <v>0</v>
      </c>
      <c r="J352" s="563"/>
      <c r="K352" s="563">
        <v>0</v>
      </c>
      <c r="L352" s="563"/>
      <c r="M352" s="1652">
        <f>+E352+I352+J352+K352+L352+N352</f>
        <v>0</v>
      </c>
      <c r="N352" s="562">
        <v>0</v>
      </c>
      <c r="O352" s="563">
        <v>0</v>
      </c>
      <c r="P352" s="563">
        <v>2550000</v>
      </c>
      <c r="Q352" s="563">
        <v>5100000</v>
      </c>
      <c r="R352" s="563"/>
      <c r="S352" s="563"/>
      <c r="T352" s="563"/>
      <c r="U352" s="563"/>
      <c r="V352" s="563"/>
      <c r="W352" s="563"/>
      <c r="X352" s="4010"/>
      <c r="Y352" s="4125"/>
    </row>
    <row r="353" spans="1:26" s="2920" customFormat="1" ht="23.25" customHeight="1">
      <c r="A353" s="2913"/>
      <c r="B353" s="1944" t="s">
        <v>587</v>
      </c>
      <c r="C353" s="2859" t="s">
        <v>131</v>
      </c>
      <c r="D353" s="2837"/>
      <c r="E353" s="2797"/>
      <c r="F353" s="2798"/>
      <c r="G353" s="2798"/>
      <c r="H353" s="2797"/>
      <c r="I353" s="2797"/>
      <c r="J353" s="2797"/>
      <c r="K353" s="2797"/>
      <c r="L353" s="2797"/>
      <c r="M353" s="2797"/>
      <c r="N353" s="2797"/>
      <c r="O353" s="2797"/>
      <c r="P353" s="2287"/>
      <c r="Q353" s="2287"/>
      <c r="R353" s="2287"/>
      <c r="S353" s="2797"/>
      <c r="T353" s="2798"/>
      <c r="U353" s="2918"/>
      <c r="V353" s="2918"/>
      <c r="W353" s="2918"/>
      <c r="X353" s="2919"/>
      <c r="Y353" s="4043" t="s">
        <v>132</v>
      </c>
    </row>
    <row r="354" spans="1:26" s="2920" customFormat="1" ht="12" customHeight="1">
      <c r="A354" s="2913"/>
      <c r="B354" s="1822" t="s">
        <v>22</v>
      </c>
      <c r="C354" s="1796"/>
      <c r="D354" s="2307">
        <f>+D355+D360</f>
        <v>452222</v>
      </c>
      <c r="E354" s="2307"/>
      <c r="F354" s="2307"/>
      <c r="G354" s="2307"/>
      <c r="H354" s="2307"/>
      <c r="I354" s="2307"/>
      <c r="J354" s="2307"/>
      <c r="K354" s="2307"/>
      <c r="L354" s="2307"/>
      <c r="M354" s="2307"/>
      <c r="N354" s="2307"/>
      <c r="O354" s="2307"/>
      <c r="P354" s="2307">
        <f>+P355+P360</f>
        <v>48546</v>
      </c>
      <c r="Q354" s="2307">
        <f t="shared" ref="Q354:S354" si="394">+Q355+Q360</f>
        <v>266706</v>
      </c>
      <c r="R354" s="2307">
        <f t="shared" si="394"/>
        <v>115385</v>
      </c>
      <c r="S354" s="2307">
        <f t="shared" si="394"/>
        <v>21585</v>
      </c>
      <c r="T354" s="2307"/>
      <c r="U354" s="2307"/>
      <c r="V354" s="2307"/>
      <c r="W354" s="2307"/>
      <c r="X354" s="1798">
        <f>+X355+X360</f>
        <v>452222</v>
      </c>
      <c r="Y354" s="4044"/>
    </row>
    <row r="355" spans="1:26" s="2920" customFormat="1" ht="12" customHeight="1">
      <c r="A355" s="2913"/>
      <c r="B355" s="1954" t="s">
        <v>36</v>
      </c>
      <c r="C355" s="4108" t="s">
        <v>133</v>
      </c>
      <c r="D355" s="2308">
        <f>+D356</f>
        <v>67833</v>
      </c>
      <c r="E355" s="2308"/>
      <c r="F355" s="2308"/>
      <c r="G355" s="2308"/>
      <c r="H355" s="2308"/>
      <c r="I355" s="2308"/>
      <c r="J355" s="2308"/>
      <c r="K355" s="2308"/>
      <c r="L355" s="2308"/>
      <c r="M355" s="2308"/>
      <c r="N355" s="2308"/>
      <c r="O355" s="2308"/>
      <c r="P355" s="2308">
        <f>+P356</f>
        <v>7282</v>
      </c>
      <c r="Q355" s="2308">
        <f t="shared" ref="Q355:S355" si="395">+Q356</f>
        <v>40006</v>
      </c>
      <c r="R355" s="2308">
        <f t="shared" si="395"/>
        <v>17308</v>
      </c>
      <c r="S355" s="2308">
        <f t="shared" si="395"/>
        <v>3237</v>
      </c>
      <c r="T355" s="2308"/>
      <c r="U355" s="2308"/>
      <c r="V355" s="2308"/>
      <c r="W355" s="2308"/>
      <c r="X355" s="1815">
        <f>SUM(M355:W355)</f>
        <v>67833</v>
      </c>
      <c r="Y355" s="4044"/>
    </row>
    <row r="356" spans="1:26" s="2920" customFormat="1" ht="12" customHeight="1">
      <c r="A356" s="3025" t="s">
        <v>405</v>
      </c>
      <c r="B356" s="1957" t="s">
        <v>24</v>
      </c>
      <c r="C356" s="4138"/>
      <c r="D356" s="1958">
        <f>+M356+O356+P356+Q356+R356+S356+T356+U356+V356+W356</f>
        <v>67833</v>
      </c>
      <c r="E356" s="1820"/>
      <c r="F356" s="2828"/>
      <c r="G356" s="2828"/>
      <c r="H356" s="2828"/>
      <c r="I356" s="2828"/>
      <c r="J356" s="2828"/>
      <c r="K356" s="2828"/>
      <c r="L356" s="2828"/>
      <c r="M356" s="1961"/>
      <c r="N356" s="2828"/>
      <c r="O356" s="2828"/>
      <c r="P356" s="2828">
        <f>+P358+P359</f>
        <v>7282</v>
      </c>
      <c r="Q356" s="2828">
        <f t="shared" ref="Q356:S356" si="396">+Q358+Q359</f>
        <v>40006</v>
      </c>
      <c r="R356" s="2828">
        <f t="shared" si="396"/>
        <v>17308</v>
      </c>
      <c r="S356" s="2828">
        <f t="shared" si="396"/>
        <v>3237</v>
      </c>
      <c r="T356" s="2828"/>
      <c r="U356" s="2828"/>
      <c r="V356" s="2828"/>
      <c r="W356" s="2828"/>
      <c r="X356" s="1963">
        <f>SUM(P356:W356)</f>
        <v>67833</v>
      </c>
      <c r="Y356" s="4044"/>
    </row>
    <row r="357" spans="1:26" s="2920" customFormat="1" ht="12" hidden="1" customHeight="1">
      <c r="A357" s="3025"/>
      <c r="B357" s="1957" t="s">
        <v>216</v>
      </c>
      <c r="C357" s="4138"/>
      <c r="D357" s="3152"/>
      <c r="E357" s="3153"/>
      <c r="F357" s="3154"/>
      <c r="G357" s="3154"/>
      <c r="H357" s="3154"/>
      <c r="I357" s="3154"/>
      <c r="J357" s="3154"/>
      <c r="K357" s="3154"/>
      <c r="L357" s="3154"/>
      <c r="M357" s="3155"/>
      <c r="N357" s="3154"/>
      <c r="O357" s="3154"/>
      <c r="P357" s="3154"/>
      <c r="Q357" s="3154"/>
      <c r="R357" s="3154"/>
      <c r="S357" s="3154"/>
      <c r="T357" s="3154"/>
      <c r="U357" s="3154"/>
      <c r="V357" s="3154"/>
      <c r="W357" s="3154"/>
      <c r="X357" s="3156"/>
      <c r="Y357" s="4044"/>
    </row>
    <row r="358" spans="1:26" s="2920" customFormat="1" ht="12" hidden="1" customHeight="1">
      <c r="A358" s="3025"/>
      <c r="B358" s="1957" t="s">
        <v>132</v>
      </c>
      <c r="C358" s="4138"/>
      <c r="D358" s="3152">
        <f>+M358+O358+P358+Q358+R358+S358+T358+U358+V358+W358</f>
        <v>54945</v>
      </c>
      <c r="E358" s="3153"/>
      <c r="F358" s="3154"/>
      <c r="G358" s="3154"/>
      <c r="H358" s="3154"/>
      <c r="I358" s="3154"/>
      <c r="J358" s="3154"/>
      <c r="K358" s="3154"/>
      <c r="L358" s="3154"/>
      <c r="M358" s="3155"/>
      <c r="N358" s="3154"/>
      <c r="O358" s="3154"/>
      <c r="P358" s="3154">
        <v>3963</v>
      </c>
      <c r="Q358" s="3154">
        <v>35747</v>
      </c>
      <c r="R358" s="3154">
        <v>12993</v>
      </c>
      <c r="S358" s="3154">
        <v>2242</v>
      </c>
      <c r="T358" s="3154"/>
      <c r="U358" s="3154"/>
      <c r="V358" s="3154"/>
      <c r="W358" s="3154"/>
      <c r="X358" s="3156"/>
      <c r="Y358" s="4044"/>
    </row>
    <row r="359" spans="1:26" s="2920" customFormat="1" ht="12" hidden="1" customHeight="1">
      <c r="A359" s="3025"/>
      <c r="B359" s="1957" t="s">
        <v>605</v>
      </c>
      <c r="C359" s="4138"/>
      <c r="D359" s="3152">
        <f>+M359+O359+P359+Q359+R359+S359+T359+U359+V359+W359</f>
        <v>12888</v>
      </c>
      <c r="E359" s="3153"/>
      <c r="F359" s="3154"/>
      <c r="G359" s="3154"/>
      <c r="H359" s="3154"/>
      <c r="I359" s="3154"/>
      <c r="J359" s="3154"/>
      <c r="K359" s="3154"/>
      <c r="L359" s="3154"/>
      <c r="M359" s="3155"/>
      <c r="N359" s="3154"/>
      <c r="O359" s="3154"/>
      <c r="P359" s="3154">
        <v>3319</v>
      </c>
      <c r="Q359" s="3154">
        <v>4259</v>
      </c>
      <c r="R359" s="3154">
        <v>4315</v>
      </c>
      <c r="S359" s="3154">
        <v>995</v>
      </c>
      <c r="T359" s="3154"/>
      <c r="U359" s="3154"/>
      <c r="V359" s="3154"/>
      <c r="W359" s="3154"/>
      <c r="X359" s="3156"/>
      <c r="Y359" s="4044"/>
    </row>
    <row r="360" spans="1:26" s="2920" customFormat="1" ht="12" customHeight="1">
      <c r="A360" s="2913"/>
      <c r="B360" s="1851" t="s">
        <v>30</v>
      </c>
      <c r="C360" s="4138"/>
      <c r="D360" s="1811">
        <f>+D361</f>
        <v>384389</v>
      </c>
      <c r="E360" s="1811"/>
      <c r="F360" s="1811"/>
      <c r="G360" s="1811"/>
      <c r="H360" s="1811"/>
      <c r="I360" s="1811"/>
      <c r="J360" s="1811"/>
      <c r="K360" s="1811"/>
      <c r="L360" s="1811"/>
      <c r="M360" s="1811"/>
      <c r="N360" s="1811"/>
      <c r="O360" s="1811"/>
      <c r="P360" s="1811">
        <f>+P361</f>
        <v>41264</v>
      </c>
      <c r="Q360" s="1811">
        <f t="shared" ref="Q360:S360" si="397">+Q361</f>
        <v>226700</v>
      </c>
      <c r="R360" s="1811">
        <f t="shared" si="397"/>
        <v>98077</v>
      </c>
      <c r="S360" s="1811">
        <f t="shared" si="397"/>
        <v>18348</v>
      </c>
      <c r="T360" s="1811"/>
      <c r="U360" s="1811"/>
      <c r="V360" s="1811"/>
      <c r="W360" s="1811"/>
      <c r="X360" s="1815">
        <f>+X361</f>
        <v>384389</v>
      </c>
      <c r="Y360" s="4044"/>
    </row>
    <row r="361" spans="1:26" s="2920" customFormat="1" ht="12" customHeight="1">
      <c r="A361" s="2913"/>
      <c r="B361" s="1965" t="s">
        <v>442</v>
      </c>
      <c r="C361" s="4139"/>
      <c r="D361" s="1958">
        <f>+M361+O361+P361+Q361+R361+S361+T361+U361+V361+W361</f>
        <v>384389</v>
      </c>
      <c r="E361" s="1820"/>
      <c r="F361" s="1818"/>
      <c r="G361" s="1818"/>
      <c r="H361" s="1818"/>
      <c r="I361" s="2828"/>
      <c r="J361" s="2828"/>
      <c r="K361" s="2828"/>
      <c r="L361" s="2828"/>
      <c r="M361" s="1961"/>
      <c r="N361" s="2828"/>
      <c r="O361" s="2828"/>
      <c r="P361" s="2828">
        <f>+P363+P364</f>
        <v>41264</v>
      </c>
      <c r="Q361" s="2828">
        <f t="shared" ref="Q361:S361" si="398">+Q363+Q364</f>
        <v>226700</v>
      </c>
      <c r="R361" s="2828">
        <f t="shared" si="398"/>
        <v>98077</v>
      </c>
      <c r="S361" s="2828">
        <f t="shared" si="398"/>
        <v>18348</v>
      </c>
      <c r="T361" s="2828"/>
      <c r="U361" s="2828"/>
      <c r="V361" s="2828"/>
      <c r="W361" s="2828"/>
      <c r="X361" s="1963">
        <f>SUM(P361:W361)</f>
        <v>384389</v>
      </c>
      <c r="Y361" s="4044"/>
    </row>
    <row r="362" spans="1:26" s="2920" customFormat="1" ht="12" hidden="1" customHeight="1">
      <c r="A362" s="3150"/>
      <c r="B362" s="1957" t="s">
        <v>216</v>
      </c>
      <c r="C362" s="3151"/>
      <c r="D362" s="3152"/>
      <c r="E362" s="3153"/>
      <c r="F362" s="2872"/>
      <c r="G362" s="2872"/>
      <c r="H362" s="2872"/>
      <c r="I362" s="3154"/>
      <c r="J362" s="3154"/>
      <c r="K362" s="3154"/>
      <c r="L362" s="3154"/>
      <c r="M362" s="3155"/>
      <c r="N362" s="3154"/>
      <c r="O362" s="3154"/>
      <c r="P362" s="3154"/>
      <c r="Q362" s="3154"/>
      <c r="R362" s="3154"/>
      <c r="S362" s="3154"/>
      <c r="T362" s="3154"/>
      <c r="U362" s="3154"/>
      <c r="V362" s="3154"/>
      <c r="W362" s="3154"/>
      <c r="X362" s="3157"/>
      <c r="Y362" s="4044"/>
    </row>
    <row r="363" spans="1:26" s="2920" customFormat="1" ht="12" hidden="1" customHeight="1">
      <c r="A363" s="3150"/>
      <c r="B363" s="1957" t="s">
        <v>132</v>
      </c>
      <c r="C363" s="3151"/>
      <c r="D363" s="3152">
        <f>+M363+O363+P363+Q363+R363+S363+T363+U363+V363+W363</f>
        <v>311347</v>
      </c>
      <c r="E363" s="3153"/>
      <c r="F363" s="2872"/>
      <c r="G363" s="2872"/>
      <c r="H363" s="2872"/>
      <c r="I363" s="3154"/>
      <c r="J363" s="3154"/>
      <c r="K363" s="3154"/>
      <c r="L363" s="3154"/>
      <c r="M363" s="3155"/>
      <c r="N363" s="3154"/>
      <c r="O363" s="3154"/>
      <c r="P363" s="3154">
        <v>22455</v>
      </c>
      <c r="Q363" s="3154">
        <v>202561</v>
      </c>
      <c r="R363" s="3154">
        <v>73627</v>
      </c>
      <c r="S363" s="3154">
        <v>12704</v>
      </c>
      <c r="T363" s="3154"/>
      <c r="U363" s="3154"/>
      <c r="V363" s="3154"/>
      <c r="W363" s="3154"/>
      <c r="X363" s="3157"/>
      <c r="Y363" s="4044"/>
    </row>
    <row r="364" spans="1:26" s="2920" customFormat="1" ht="12" hidden="1" customHeight="1">
      <c r="A364" s="3150"/>
      <c r="B364" s="1957" t="s">
        <v>605</v>
      </c>
      <c r="C364" s="3151"/>
      <c r="D364" s="3152">
        <f>+M364+O364+P364+Q364+R364+S364+T364+U364+V364+W364</f>
        <v>73042</v>
      </c>
      <c r="E364" s="3153"/>
      <c r="F364" s="2872"/>
      <c r="G364" s="2872"/>
      <c r="H364" s="2872"/>
      <c r="I364" s="3154"/>
      <c r="J364" s="3154"/>
      <c r="K364" s="3154"/>
      <c r="L364" s="3154"/>
      <c r="M364" s="3155"/>
      <c r="N364" s="3154"/>
      <c r="O364" s="3154"/>
      <c r="P364" s="3154">
        <v>18809</v>
      </c>
      <c r="Q364" s="3154">
        <v>24139</v>
      </c>
      <c r="R364" s="3154">
        <v>24450</v>
      </c>
      <c r="S364" s="3154">
        <v>5644</v>
      </c>
      <c r="T364" s="3154"/>
      <c r="U364" s="3154"/>
      <c r="V364" s="3154"/>
      <c r="W364" s="3154"/>
      <c r="X364" s="3157"/>
      <c r="Y364" s="4044"/>
    </row>
    <row r="365" spans="1:26" s="2920" customFormat="1" ht="12" customHeight="1">
      <c r="A365" s="2913"/>
      <c r="B365" s="1822" t="s">
        <v>34</v>
      </c>
      <c r="C365" s="1796"/>
      <c r="D365" s="1797">
        <f>SUM(M365:W365)</f>
        <v>384389</v>
      </c>
      <c r="E365" s="1797"/>
      <c r="F365" s="1797"/>
      <c r="G365" s="1797"/>
      <c r="H365" s="1797"/>
      <c r="I365" s="1797"/>
      <c r="J365" s="1797"/>
      <c r="K365" s="1797"/>
      <c r="L365" s="1797"/>
      <c r="M365" s="1797"/>
      <c r="N365" s="1797"/>
      <c r="O365" s="1797"/>
      <c r="P365" s="1797">
        <v>0</v>
      </c>
      <c r="Q365" s="1797">
        <f>+Q366</f>
        <v>20632</v>
      </c>
      <c r="R365" s="1797">
        <f t="shared" ref="R365:S365" si="399">+R366</f>
        <v>133982</v>
      </c>
      <c r="S365" s="1797">
        <f t="shared" si="399"/>
        <v>229775</v>
      </c>
      <c r="T365" s="1797"/>
      <c r="U365" s="1797"/>
      <c r="V365" s="1797"/>
      <c r="W365" s="1797"/>
      <c r="X365" s="4140" t="s">
        <v>35</v>
      </c>
      <c r="Y365" s="4044"/>
    </row>
    <row r="366" spans="1:26" s="2920" customFormat="1" ht="12" customHeight="1">
      <c r="A366" s="2913"/>
      <c r="B366" s="1851" t="s">
        <v>30</v>
      </c>
      <c r="C366" s="4108" t="s">
        <v>133</v>
      </c>
      <c r="D366" s="1967">
        <f>+D367</f>
        <v>384389</v>
      </c>
      <c r="E366" s="1967"/>
      <c r="F366" s="1967"/>
      <c r="G366" s="1967"/>
      <c r="H366" s="1967"/>
      <c r="I366" s="1967"/>
      <c r="J366" s="1968"/>
      <c r="K366" s="1968"/>
      <c r="L366" s="1968"/>
      <c r="M366" s="1968"/>
      <c r="N366" s="1967"/>
      <c r="O366" s="1968"/>
      <c r="P366" s="1967">
        <v>0</v>
      </c>
      <c r="Q366" s="1967">
        <f>+Q367</f>
        <v>20632</v>
      </c>
      <c r="R366" s="1967">
        <f t="shared" ref="R366:S366" si="400">+R367</f>
        <v>133982</v>
      </c>
      <c r="S366" s="1967">
        <f t="shared" si="400"/>
        <v>229775</v>
      </c>
      <c r="T366" s="1967"/>
      <c r="U366" s="1967"/>
      <c r="V366" s="1967"/>
      <c r="W366" s="1967"/>
      <c r="X366" s="4141"/>
      <c r="Y366" s="4044"/>
    </row>
    <row r="367" spans="1:26" s="2920" customFormat="1" ht="12" customHeight="1" thickBot="1">
      <c r="A367" s="2913"/>
      <c r="B367" s="1970" t="s">
        <v>32</v>
      </c>
      <c r="C367" s="4110"/>
      <c r="D367" s="1785">
        <f>SUM(M367:W367)</f>
        <v>384389</v>
      </c>
      <c r="E367" s="1826"/>
      <c r="F367" s="2921"/>
      <c r="G367" s="2922"/>
      <c r="H367" s="2923"/>
      <c r="I367" s="2924"/>
      <c r="J367" s="2922"/>
      <c r="K367" s="2922"/>
      <c r="L367" s="2922"/>
      <c r="M367" s="1785"/>
      <c r="N367" s="2921"/>
      <c r="O367" s="2922"/>
      <c r="P367" s="2922">
        <v>0</v>
      </c>
      <c r="Q367" s="2922">
        <v>20632</v>
      </c>
      <c r="R367" s="2922">
        <v>133982</v>
      </c>
      <c r="S367" s="2922">
        <v>229775</v>
      </c>
      <c r="T367" s="2922"/>
      <c r="U367" s="2922"/>
      <c r="V367" s="2922"/>
      <c r="W367" s="2922"/>
      <c r="X367" s="4142"/>
      <c r="Y367" s="4045"/>
      <c r="Z367" s="3114">
        <f>D367-D361</f>
        <v>0</v>
      </c>
    </row>
    <row r="368" spans="1:26" ht="24" customHeight="1">
      <c r="A368" s="4131" t="s">
        <v>546</v>
      </c>
      <c r="B368" s="625" t="s">
        <v>124</v>
      </c>
      <c r="C368" s="626"/>
      <c r="D368" s="627"/>
      <c r="E368" s="628"/>
      <c r="F368" s="628"/>
      <c r="G368" s="628"/>
      <c r="H368" s="628"/>
      <c r="I368" s="628"/>
      <c r="J368" s="628"/>
      <c r="K368" s="628"/>
      <c r="L368" s="628"/>
      <c r="M368" s="629"/>
      <c r="N368" s="629"/>
      <c r="O368" s="629"/>
      <c r="P368" s="629"/>
      <c r="Q368" s="629"/>
      <c r="R368" s="629"/>
      <c r="S368" s="629"/>
      <c r="T368" s="629"/>
      <c r="U368" s="629"/>
      <c r="V368" s="629"/>
      <c r="W368" s="629"/>
      <c r="X368" s="630"/>
      <c r="Y368" s="4134"/>
    </row>
    <row r="369" spans="1:27" ht="12" customHeight="1">
      <c r="A369" s="4132"/>
      <c r="B369" s="381" t="s">
        <v>22</v>
      </c>
      <c r="C369" s="382"/>
      <c r="D369" s="631">
        <f>+D370+D374</f>
        <v>226335200</v>
      </c>
      <c r="E369" s="631">
        <f>+E370+E374</f>
        <v>0</v>
      </c>
      <c r="F369" s="631">
        <f t="shared" ref="F369:R369" si="401">+F370+F374</f>
        <v>0</v>
      </c>
      <c r="G369" s="631">
        <f t="shared" si="401"/>
        <v>0</v>
      </c>
      <c r="H369" s="631">
        <f t="shared" si="401"/>
        <v>0</v>
      </c>
      <c r="I369" s="631">
        <f t="shared" si="401"/>
        <v>0</v>
      </c>
      <c r="J369" s="631">
        <f t="shared" si="401"/>
        <v>0</v>
      </c>
      <c r="K369" s="631">
        <f t="shared" si="401"/>
        <v>0</v>
      </c>
      <c r="L369" s="631">
        <f t="shared" si="401"/>
        <v>52200000</v>
      </c>
      <c r="M369" s="631">
        <f t="shared" ref="M369" si="402">+M370+M374</f>
        <v>156606326</v>
      </c>
      <c r="N369" s="631">
        <f t="shared" si="401"/>
        <v>104406326</v>
      </c>
      <c r="O369" s="631">
        <f>+O370+O374</f>
        <v>69728874</v>
      </c>
      <c r="P369" s="631">
        <f t="shared" si="401"/>
        <v>0</v>
      </c>
      <c r="Q369" s="631">
        <f t="shared" si="401"/>
        <v>0</v>
      </c>
      <c r="R369" s="631">
        <f t="shared" si="401"/>
        <v>0</v>
      </c>
      <c r="S369" s="631">
        <f t="shared" ref="S369:T369" si="403">+S370+S374</f>
        <v>0</v>
      </c>
      <c r="T369" s="631">
        <f t="shared" si="403"/>
        <v>0</v>
      </c>
      <c r="U369" s="631">
        <f t="shared" ref="U369:W369" si="404">+U370+U374</f>
        <v>0</v>
      </c>
      <c r="V369" s="631">
        <f t="shared" si="404"/>
        <v>0</v>
      </c>
      <c r="W369" s="631">
        <f t="shared" si="404"/>
        <v>0</v>
      </c>
      <c r="X369" s="408">
        <f>+X370+X374</f>
        <v>0</v>
      </c>
      <c r="Y369" s="4135"/>
      <c r="Z369" s="1229">
        <f>+O369+P369</f>
        <v>69728874</v>
      </c>
      <c r="AA369" s="1056"/>
    </row>
    <row r="370" spans="1:27" s="948" customFormat="1" ht="12" customHeight="1">
      <c r="A370" s="4132"/>
      <c r="B370" s="632" t="s">
        <v>23</v>
      </c>
      <c r="C370" s="633"/>
      <c r="D370" s="610">
        <f>+D371+D372+D373</f>
        <v>46467538</v>
      </c>
      <c r="E370" s="610">
        <f t="shared" ref="E370:R370" si="405">+E371+E372+E373</f>
        <v>0</v>
      </c>
      <c r="F370" s="610">
        <f t="shared" si="405"/>
        <v>0</v>
      </c>
      <c r="G370" s="610">
        <f t="shared" si="405"/>
        <v>0</v>
      </c>
      <c r="H370" s="610">
        <f t="shared" si="405"/>
        <v>0</v>
      </c>
      <c r="I370" s="610">
        <f t="shared" si="405"/>
        <v>0</v>
      </c>
      <c r="J370" s="610">
        <f t="shared" si="405"/>
        <v>0</v>
      </c>
      <c r="K370" s="610">
        <f t="shared" si="405"/>
        <v>0</v>
      </c>
      <c r="L370" s="610">
        <f t="shared" si="405"/>
        <v>11609280</v>
      </c>
      <c r="M370" s="610">
        <f t="shared" ref="M370" si="406">+M371+M372+M373</f>
        <v>32492006</v>
      </c>
      <c r="N370" s="610">
        <f t="shared" si="405"/>
        <v>20882726</v>
      </c>
      <c r="O370" s="610">
        <f t="shared" si="405"/>
        <v>13975532</v>
      </c>
      <c r="P370" s="610">
        <f t="shared" si="405"/>
        <v>0</v>
      </c>
      <c r="Q370" s="610">
        <f t="shared" si="405"/>
        <v>0</v>
      </c>
      <c r="R370" s="610">
        <f t="shared" si="405"/>
        <v>0</v>
      </c>
      <c r="S370" s="610">
        <f t="shared" ref="S370:T370" si="407">+S371+S372+S373</f>
        <v>0</v>
      </c>
      <c r="T370" s="610">
        <f t="shared" si="407"/>
        <v>0</v>
      </c>
      <c r="U370" s="610">
        <f t="shared" ref="U370:W370" si="408">+U371+U372+U373</f>
        <v>0</v>
      </c>
      <c r="V370" s="610">
        <f t="shared" si="408"/>
        <v>0</v>
      </c>
      <c r="W370" s="610">
        <f t="shared" si="408"/>
        <v>0</v>
      </c>
      <c r="X370" s="412">
        <f>+X371+X372+X373</f>
        <v>0</v>
      </c>
      <c r="Y370" s="4135"/>
      <c r="AA370" s="1056"/>
    </row>
    <row r="371" spans="1:27" ht="12" customHeight="1">
      <c r="A371" s="4132"/>
      <c r="B371" s="634" t="s">
        <v>24</v>
      </c>
      <c r="C371" s="635"/>
      <c r="D371" s="415">
        <f>+D387+D405</f>
        <v>1227538</v>
      </c>
      <c r="E371" s="415">
        <f>+E387+E405</f>
        <v>0</v>
      </c>
      <c r="F371" s="415">
        <f t="shared" ref="F371:R371" si="409">+F387+F405</f>
        <v>0</v>
      </c>
      <c r="G371" s="415">
        <f t="shared" si="409"/>
        <v>0</v>
      </c>
      <c r="H371" s="415">
        <f t="shared" si="409"/>
        <v>0</v>
      </c>
      <c r="I371" s="415">
        <f t="shared" si="409"/>
        <v>0</v>
      </c>
      <c r="J371" s="415">
        <f t="shared" si="409"/>
        <v>0</v>
      </c>
      <c r="K371" s="415">
        <f t="shared" si="409"/>
        <v>0</v>
      </c>
      <c r="L371" s="415">
        <f t="shared" si="409"/>
        <v>1169280</v>
      </c>
      <c r="M371" s="415">
        <f>+M387+M405</f>
        <v>1172006</v>
      </c>
      <c r="N371" s="415">
        <f t="shared" si="409"/>
        <v>2726</v>
      </c>
      <c r="O371" s="415">
        <f t="shared" si="409"/>
        <v>55532</v>
      </c>
      <c r="P371" s="415">
        <f t="shared" si="409"/>
        <v>0</v>
      </c>
      <c r="Q371" s="415">
        <f t="shared" si="409"/>
        <v>0</v>
      </c>
      <c r="R371" s="415">
        <f t="shared" si="409"/>
        <v>0</v>
      </c>
      <c r="S371" s="415">
        <f t="shared" ref="S371:T371" si="410">+S387+S405</f>
        <v>0</v>
      </c>
      <c r="T371" s="415">
        <f t="shared" si="410"/>
        <v>0</v>
      </c>
      <c r="U371" s="415">
        <f t="shared" ref="U371:W371" si="411">+U387+U405</f>
        <v>0</v>
      </c>
      <c r="V371" s="415">
        <f t="shared" si="411"/>
        <v>0</v>
      </c>
      <c r="W371" s="415">
        <f t="shared" si="411"/>
        <v>0</v>
      </c>
      <c r="X371" s="416">
        <f>SUM(P371:T371)</f>
        <v>0</v>
      </c>
      <c r="Y371" s="4135"/>
      <c r="Z371" s="1056"/>
      <c r="AA371" s="1056"/>
    </row>
    <row r="372" spans="1:27" ht="12" customHeight="1">
      <c r="A372" s="4132"/>
      <c r="B372" s="413" t="s">
        <v>94</v>
      </c>
      <c r="C372" s="414"/>
      <c r="D372" s="415">
        <f t="shared" ref="D372:D373" si="412">+D388</f>
        <v>14575000</v>
      </c>
      <c r="E372" s="415">
        <f>+E388</f>
        <v>0</v>
      </c>
      <c r="F372" s="415">
        <f t="shared" ref="F372:R373" si="413">+F388</f>
        <v>0</v>
      </c>
      <c r="G372" s="415">
        <f t="shared" si="413"/>
        <v>0</v>
      </c>
      <c r="H372" s="415">
        <f t="shared" si="413"/>
        <v>0</v>
      </c>
      <c r="I372" s="415">
        <f t="shared" si="413"/>
        <v>0</v>
      </c>
      <c r="J372" s="415">
        <f t="shared" si="413"/>
        <v>0</v>
      </c>
      <c r="K372" s="415">
        <f t="shared" si="413"/>
        <v>0</v>
      </c>
      <c r="L372" s="415">
        <f t="shared" si="413"/>
        <v>0</v>
      </c>
      <c r="M372" s="415">
        <f t="shared" ref="M372" si="414">+M388</f>
        <v>7293750</v>
      </c>
      <c r="N372" s="415">
        <f t="shared" si="413"/>
        <v>7293750</v>
      </c>
      <c r="O372" s="415">
        <f t="shared" si="413"/>
        <v>7281250</v>
      </c>
      <c r="P372" s="415">
        <f t="shared" si="413"/>
        <v>0</v>
      </c>
      <c r="Q372" s="415">
        <f t="shared" si="413"/>
        <v>0</v>
      </c>
      <c r="R372" s="415">
        <f t="shared" si="413"/>
        <v>0</v>
      </c>
      <c r="S372" s="415">
        <f t="shared" ref="S372:T372" si="415">+S388</f>
        <v>0</v>
      </c>
      <c r="T372" s="415">
        <f t="shared" si="415"/>
        <v>0</v>
      </c>
      <c r="U372" s="415">
        <f t="shared" ref="U372:W372" si="416">+U388</f>
        <v>0</v>
      </c>
      <c r="V372" s="415">
        <f t="shared" si="416"/>
        <v>0</v>
      </c>
      <c r="W372" s="415">
        <f t="shared" si="416"/>
        <v>0</v>
      </c>
      <c r="X372" s="416">
        <f>SUM(P372:T372)</f>
        <v>0</v>
      </c>
      <c r="Y372" s="4135"/>
      <c r="AA372" s="1056"/>
    </row>
    <row r="373" spans="1:27" ht="12" customHeight="1">
      <c r="A373" s="4132"/>
      <c r="B373" s="636" t="s">
        <v>68</v>
      </c>
      <c r="C373" s="637"/>
      <c r="D373" s="415">
        <f t="shared" si="412"/>
        <v>30665000</v>
      </c>
      <c r="E373" s="415">
        <f>+E389</f>
        <v>0</v>
      </c>
      <c r="F373" s="415">
        <f t="shared" si="413"/>
        <v>0</v>
      </c>
      <c r="G373" s="415">
        <f t="shared" si="413"/>
        <v>0</v>
      </c>
      <c r="H373" s="415">
        <f t="shared" si="413"/>
        <v>0</v>
      </c>
      <c r="I373" s="415">
        <f t="shared" si="413"/>
        <v>0</v>
      </c>
      <c r="J373" s="415">
        <f t="shared" si="413"/>
        <v>0</v>
      </c>
      <c r="K373" s="415">
        <f t="shared" si="413"/>
        <v>0</v>
      </c>
      <c r="L373" s="415">
        <f t="shared" si="413"/>
        <v>10440000</v>
      </c>
      <c r="M373" s="415">
        <f t="shared" ref="M373" si="417">+M389</f>
        <v>24026250</v>
      </c>
      <c r="N373" s="415">
        <f t="shared" si="413"/>
        <v>13586250</v>
      </c>
      <c r="O373" s="415">
        <f t="shared" si="413"/>
        <v>6638750</v>
      </c>
      <c r="P373" s="415">
        <f t="shared" si="413"/>
        <v>0</v>
      </c>
      <c r="Q373" s="415">
        <f t="shared" si="413"/>
        <v>0</v>
      </c>
      <c r="R373" s="415">
        <f t="shared" si="413"/>
        <v>0</v>
      </c>
      <c r="S373" s="415">
        <f t="shared" ref="S373:T373" si="418">+S389</f>
        <v>0</v>
      </c>
      <c r="T373" s="415">
        <f t="shared" si="418"/>
        <v>0</v>
      </c>
      <c r="U373" s="415">
        <f t="shared" ref="U373:W373" si="419">+U389</f>
        <v>0</v>
      </c>
      <c r="V373" s="415">
        <f t="shared" si="419"/>
        <v>0</v>
      </c>
      <c r="W373" s="415">
        <f t="shared" si="419"/>
        <v>0</v>
      </c>
      <c r="X373" s="416">
        <f>SUM(P373:T373)</f>
        <v>0</v>
      </c>
      <c r="Y373" s="4135"/>
      <c r="Z373" s="1056"/>
      <c r="AA373" s="1056"/>
    </row>
    <row r="374" spans="1:27" s="1237" customFormat="1" ht="12" customHeight="1">
      <c r="A374" s="4132"/>
      <c r="B374" s="420" t="s">
        <v>30</v>
      </c>
      <c r="C374" s="638"/>
      <c r="D374" s="411">
        <f>+D375+D376</f>
        <v>179867662</v>
      </c>
      <c r="E374" s="411">
        <f t="shared" ref="E374:R374" si="420">+E375+E376</f>
        <v>0</v>
      </c>
      <c r="F374" s="411">
        <f t="shared" si="420"/>
        <v>0</v>
      </c>
      <c r="G374" s="411">
        <f t="shared" si="420"/>
        <v>0</v>
      </c>
      <c r="H374" s="411">
        <f t="shared" si="420"/>
        <v>0</v>
      </c>
      <c r="I374" s="411">
        <f t="shared" si="420"/>
        <v>0</v>
      </c>
      <c r="J374" s="411">
        <f t="shared" si="420"/>
        <v>0</v>
      </c>
      <c r="K374" s="411">
        <f t="shared" si="420"/>
        <v>0</v>
      </c>
      <c r="L374" s="411">
        <f t="shared" si="420"/>
        <v>40590720</v>
      </c>
      <c r="M374" s="411">
        <f t="shared" ref="M374" si="421">+M375+M376</f>
        <v>124114320</v>
      </c>
      <c r="N374" s="411">
        <f t="shared" si="420"/>
        <v>83523600</v>
      </c>
      <c r="O374" s="411">
        <f t="shared" si="420"/>
        <v>55753342</v>
      </c>
      <c r="P374" s="411">
        <f t="shared" si="420"/>
        <v>0</v>
      </c>
      <c r="Q374" s="411">
        <f t="shared" si="420"/>
        <v>0</v>
      </c>
      <c r="R374" s="411">
        <f t="shared" si="420"/>
        <v>0</v>
      </c>
      <c r="S374" s="411">
        <f t="shared" ref="S374:T374" si="422">+S375+S376</f>
        <v>0</v>
      </c>
      <c r="T374" s="411">
        <f t="shared" si="422"/>
        <v>0</v>
      </c>
      <c r="U374" s="411">
        <f t="shared" ref="U374:W374" si="423">+U375+U376</f>
        <v>0</v>
      </c>
      <c r="V374" s="411">
        <f t="shared" si="423"/>
        <v>0</v>
      </c>
      <c r="W374" s="411">
        <f t="shared" si="423"/>
        <v>0</v>
      </c>
      <c r="X374" s="639">
        <f>+X375+X376</f>
        <v>0</v>
      </c>
      <c r="Y374" s="4135"/>
      <c r="Z374" s="1228"/>
      <c r="AA374" s="1228"/>
    </row>
    <row r="375" spans="1:27" ht="12" customHeight="1">
      <c r="A375" s="4132"/>
      <c r="B375" s="424" t="s">
        <v>33</v>
      </c>
      <c r="C375" s="637"/>
      <c r="D375" s="415">
        <f t="shared" ref="D375" si="424">+D391+D407</f>
        <v>179867662</v>
      </c>
      <c r="E375" s="415">
        <f>+E391+E407</f>
        <v>0</v>
      </c>
      <c r="F375" s="415">
        <f t="shared" ref="F375:R375" si="425">+F391+F407</f>
        <v>0</v>
      </c>
      <c r="G375" s="415">
        <f t="shared" si="425"/>
        <v>0</v>
      </c>
      <c r="H375" s="415">
        <f t="shared" si="425"/>
        <v>0</v>
      </c>
      <c r="I375" s="415">
        <f t="shared" si="425"/>
        <v>0</v>
      </c>
      <c r="J375" s="415">
        <f t="shared" si="425"/>
        <v>0</v>
      </c>
      <c r="K375" s="415">
        <f t="shared" si="425"/>
        <v>0</v>
      </c>
      <c r="L375" s="415">
        <f t="shared" si="425"/>
        <v>40590720</v>
      </c>
      <c r="M375" s="415">
        <f t="shared" ref="M375" si="426">+M391+M407</f>
        <v>124114320</v>
      </c>
      <c r="N375" s="415">
        <f t="shared" si="425"/>
        <v>83523600</v>
      </c>
      <c r="O375" s="415">
        <f t="shared" si="425"/>
        <v>55753342</v>
      </c>
      <c r="P375" s="415">
        <f t="shared" si="425"/>
        <v>0</v>
      </c>
      <c r="Q375" s="415">
        <f t="shared" si="425"/>
        <v>0</v>
      </c>
      <c r="R375" s="415">
        <f t="shared" si="425"/>
        <v>0</v>
      </c>
      <c r="S375" s="415">
        <f t="shared" ref="S375:T375" si="427">+S391+S407</f>
        <v>0</v>
      </c>
      <c r="T375" s="415">
        <f t="shared" si="427"/>
        <v>0</v>
      </c>
      <c r="U375" s="415">
        <f t="shared" ref="U375:W375" si="428">+U391+U407</f>
        <v>0</v>
      </c>
      <c r="V375" s="415">
        <f t="shared" si="428"/>
        <v>0</v>
      </c>
      <c r="W375" s="415">
        <f t="shared" si="428"/>
        <v>0</v>
      </c>
      <c r="X375" s="416">
        <f>SUM(P375:T375)</f>
        <v>0</v>
      </c>
      <c r="Y375" s="4135"/>
      <c r="Z375" s="1056"/>
      <c r="AA375" s="1056"/>
    </row>
    <row r="376" spans="1:27" ht="12" hidden="1" customHeight="1">
      <c r="A376" s="4132"/>
      <c r="B376" s="424" t="s">
        <v>95</v>
      </c>
      <c r="C376" s="637"/>
      <c r="D376" s="415">
        <f t="shared" ref="D376" si="429">+D392</f>
        <v>0</v>
      </c>
      <c r="E376" s="415">
        <f>+E392</f>
        <v>0</v>
      </c>
      <c r="F376" s="415">
        <f t="shared" ref="F376:R376" si="430">+F392</f>
        <v>0</v>
      </c>
      <c r="G376" s="415">
        <f t="shared" si="430"/>
        <v>0</v>
      </c>
      <c r="H376" s="415">
        <f t="shared" si="430"/>
        <v>0</v>
      </c>
      <c r="I376" s="415">
        <f t="shared" si="430"/>
        <v>0</v>
      </c>
      <c r="J376" s="415">
        <f t="shared" si="430"/>
        <v>0</v>
      </c>
      <c r="K376" s="415">
        <f t="shared" si="430"/>
        <v>0</v>
      </c>
      <c r="L376" s="415">
        <f t="shared" si="430"/>
        <v>0</v>
      </c>
      <c r="M376" s="415">
        <f t="shared" ref="M376" si="431">+M392</f>
        <v>0</v>
      </c>
      <c r="N376" s="415">
        <f t="shared" si="430"/>
        <v>0</v>
      </c>
      <c r="O376" s="415">
        <f t="shared" si="430"/>
        <v>0</v>
      </c>
      <c r="P376" s="415">
        <f t="shared" si="430"/>
        <v>0</v>
      </c>
      <c r="Q376" s="415">
        <f t="shared" si="430"/>
        <v>0</v>
      </c>
      <c r="R376" s="415">
        <f t="shared" si="430"/>
        <v>0</v>
      </c>
      <c r="S376" s="415">
        <f t="shared" ref="S376:T376" si="432">+S392</f>
        <v>0</v>
      </c>
      <c r="T376" s="415">
        <f t="shared" si="432"/>
        <v>0</v>
      </c>
      <c r="U376" s="415">
        <f t="shared" ref="U376:W376" si="433">+U392</f>
        <v>0</v>
      </c>
      <c r="V376" s="415">
        <f t="shared" si="433"/>
        <v>0</v>
      </c>
      <c r="W376" s="415">
        <f t="shared" si="433"/>
        <v>0</v>
      </c>
      <c r="X376" s="416">
        <f>SUM(P376:T376)</f>
        <v>0</v>
      </c>
      <c r="Y376" s="4135"/>
      <c r="Z376" s="1056"/>
      <c r="AA376" s="1056"/>
    </row>
    <row r="377" spans="1:27" ht="12" customHeight="1">
      <c r="A377" s="4132"/>
      <c r="B377" s="381" t="s">
        <v>34</v>
      </c>
      <c r="C377" s="382"/>
      <c r="D377" s="471">
        <f>+D378+D381</f>
        <v>225107662</v>
      </c>
      <c r="E377" s="471">
        <f t="shared" ref="E377:R377" si="434">+E378+E381</f>
        <v>0</v>
      </c>
      <c r="F377" s="471">
        <f t="shared" si="434"/>
        <v>0</v>
      </c>
      <c r="G377" s="471">
        <f t="shared" si="434"/>
        <v>0</v>
      </c>
      <c r="H377" s="471">
        <f t="shared" si="434"/>
        <v>0</v>
      </c>
      <c r="I377" s="471">
        <f t="shared" si="434"/>
        <v>0</v>
      </c>
      <c r="J377" s="471">
        <f t="shared" si="434"/>
        <v>5665000</v>
      </c>
      <c r="K377" s="471">
        <f t="shared" si="434"/>
        <v>6250000</v>
      </c>
      <c r="L377" s="471">
        <f t="shared" si="434"/>
        <v>41766880</v>
      </c>
      <c r="M377" s="471">
        <f t="shared" ref="M377" si="435">+M378+M381</f>
        <v>140309230</v>
      </c>
      <c r="N377" s="471">
        <f t="shared" si="434"/>
        <v>86627350</v>
      </c>
      <c r="O377" s="471">
        <f t="shared" si="434"/>
        <v>70878432</v>
      </c>
      <c r="P377" s="471">
        <f t="shared" si="434"/>
        <v>13920000</v>
      </c>
      <c r="Q377" s="471">
        <f t="shared" si="434"/>
        <v>0</v>
      </c>
      <c r="R377" s="471">
        <f t="shared" si="434"/>
        <v>0</v>
      </c>
      <c r="S377" s="471">
        <f t="shared" ref="S377:T377" si="436">+S378+S381</f>
        <v>0</v>
      </c>
      <c r="T377" s="471">
        <f t="shared" si="436"/>
        <v>0</v>
      </c>
      <c r="U377" s="471">
        <f t="shared" ref="U377:W377" si="437">+U378+U381</f>
        <v>0</v>
      </c>
      <c r="V377" s="471">
        <f t="shared" si="437"/>
        <v>0</v>
      </c>
      <c r="W377" s="471">
        <f t="shared" si="437"/>
        <v>0</v>
      </c>
      <c r="X377" s="4008" t="s">
        <v>35</v>
      </c>
      <c r="Y377" s="4135"/>
    </row>
    <row r="378" spans="1:27" ht="12" customHeight="1">
      <c r="A378" s="4132"/>
      <c r="B378" s="640" t="s">
        <v>36</v>
      </c>
      <c r="C378" s="641"/>
      <c r="D378" s="610">
        <f>+D379+D380</f>
        <v>45240000</v>
      </c>
      <c r="E378" s="610">
        <f t="shared" ref="E378:R378" si="438">+E379+E380</f>
        <v>0</v>
      </c>
      <c r="F378" s="610">
        <f t="shared" si="438"/>
        <v>0</v>
      </c>
      <c r="G378" s="610">
        <f t="shared" si="438"/>
        <v>0</v>
      </c>
      <c r="H378" s="610">
        <f t="shared" si="438"/>
        <v>0</v>
      </c>
      <c r="I378" s="610">
        <f t="shared" si="438"/>
        <v>0</v>
      </c>
      <c r="J378" s="610">
        <f t="shared" si="438"/>
        <v>5665000</v>
      </c>
      <c r="K378" s="610">
        <f t="shared" si="438"/>
        <v>6250000</v>
      </c>
      <c r="L378" s="610">
        <f t="shared" si="438"/>
        <v>6250000</v>
      </c>
      <c r="M378" s="610">
        <f t="shared" ref="M378" si="439">+M379+M380</f>
        <v>31708750</v>
      </c>
      <c r="N378" s="610">
        <f t="shared" si="438"/>
        <v>13543750</v>
      </c>
      <c r="O378" s="610">
        <f t="shared" si="438"/>
        <v>13531250</v>
      </c>
      <c r="P378" s="610">
        <f t="shared" si="438"/>
        <v>0</v>
      </c>
      <c r="Q378" s="610">
        <f t="shared" si="438"/>
        <v>0</v>
      </c>
      <c r="R378" s="610">
        <f t="shared" si="438"/>
        <v>0</v>
      </c>
      <c r="S378" s="610">
        <f t="shared" ref="S378:T378" si="440">+S379+S380</f>
        <v>0</v>
      </c>
      <c r="T378" s="610">
        <f t="shared" si="440"/>
        <v>0</v>
      </c>
      <c r="U378" s="610">
        <f t="shared" ref="U378:W378" si="441">+U379+U380</f>
        <v>0</v>
      </c>
      <c r="V378" s="610">
        <f t="shared" si="441"/>
        <v>0</v>
      </c>
      <c r="W378" s="610">
        <f t="shared" si="441"/>
        <v>0</v>
      </c>
      <c r="X378" s="4009"/>
      <c r="Y378" s="4135"/>
      <c r="Z378" s="1056"/>
    </row>
    <row r="379" spans="1:27" ht="12" customHeight="1">
      <c r="A379" s="4132"/>
      <c r="B379" s="642" t="s">
        <v>94</v>
      </c>
      <c r="C379" s="637"/>
      <c r="D379" s="415">
        <f t="shared" ref="D379" si="442">+D395</f>
        <v>14575000</v>
      </c>
      <c r="E379" s="415">
        <f>+E395</f>
        <v>0</v>
      </c>
      <c r="F379" s="415">
        <f t="shared" ref="F379:P379" si="443">+F395</f>
        <v>0</v>
      </c>
      <c r="G379" s="415">
        <f t="shared" si="443"/>
        <v>0</v>
      </c>
      <c r="H379" s="415">
        <f t="shared" si="443"/>
        <v>0</v>
      </c>
      <c r="I379" s="415">
        <f t="shared" si="443"/>
        <v>0</v>
      </c>
      <c r="J379" s="415">
        <f t="shared" si="443"/>
        <v>0</v>
      </c>
      <c r="K379" s="415">
        <f t="shared" si="443"/>
        <v>0</v>
      </c>
      <c r="L379" s="415">
        <f t="shared" si="443"/>
        <v>0</v>
      </c>
      <c r="M379" s="415">
        <f t="shared" ref="M379" si="444">+M395</f>
        <v>7293750</v>
      </c>
      <c r="N379" s="415">
        <f t="shared" si="443"/>
        <v>7293750</v>
      </c>
      <c r="O379" s="415">
        <f t="shared" si="443"/>
        <v>7281250</v>
      </c>
      <c r="P379" s="415">
        <f t="shared" si="443"/>
        <v>0</v>
      </c>
      <c r="Q379" s="415">
        <f>+Q395</f>
        <v>0</v>
      </c>
      <c r="R379" s="415">
        <f>+R395</f>
        <v>0</v>
      </c>
      <c r="S379" s="415">
        <f>+S395</f>
        <v>0</v>
      </c>
      <c r="T379" s="415">
        <f>+T395</f>
        <v>0</v>
      </c>
      <c r="U379" s="415">
        <f t="shared" ref="U379:W379" si="445">+U395</f>
        <v>0</v>
      </c>
      <c r="V379" s="415">
        <f t="shared" si="445"/>
        <v>0</v>
      </c>
      <c r="W379" s="415">
        <f t="shared" si="445"/>
        <v>0</v>
      </c>
      <c r="X379" s="4009"/>
      <c r="Y379" s="4135"/>
    </row>
    <row r="380" spans="1:27" ht="12" customHeight="1">
      <c r="A380" s="4132"/>
      <c r="B380" s="643" t="s">
        <v>68</v>
      </c>
      <c r="C380" s="644"/>
      <c r="D380" s="415">
        <f t="shared" ref="D380" si="446">+D397</f>
        <v>30665000</v>
      </c>
      <c r="E380" s="415">
        <f>+E397</f>
        <v>0</v>
      </c>
      <c r="F380" s="415">
        <f t="shared" ref="F380:P380" si="447">+F397</f>
        <v>0</v>
      </c>
      <c r="G380" s="415">
        <f t="shared" si="447"/>
        <v>0</v>
      </c>
      <c r="H380" s="415">
        <f t="shared" si="447"/>
        <v>0</v>
      </c>
      <c r="I380" s="415">
        <f t="shared" si="447"/>
        <v>0</v>
      </c>
      <c r="J380" s="415">
        <f t="shared" si="447"/>
        <v>5665000</v>
      </c>
      <c r="K380" s="415">
        <f t="shared" si="447"/>
        <v>6250000</v>
      </c>
      <c r="L380" s="415">
        <f t="shared" si="447"/>
        <v>6250000</v>
      </c>
      <c r="M380" s="415">
        <f t="shared" ref="M380" si="448">+M397</f>
        <v>24415000</v>
      </c>
      <c r="N380" s="415">
        <f t="shared" si="447"/>
        <v>6250000</v>
      </c>
      <c r="O380" s="415">
        <f t="shared" si="447"/>
        <v>6250000</v>
      </c>
      <c r="P380" s="415">
        <f t="shared" si="447"/>
        <v>0</v>
      </c>
      <c r="Q380" s="415">
        <f>+Q397</f>
        <v>0</v>
      </c>
      <c r="R380" s="415">
        <f>+R397</f>
        <v>0</v>
      </c>
      <c r="S380" s="415">
        <f>+S397</f>
        <v>0</v>
      </c>
      <c r="T380" s="415">
        <f>+T397</f>
        <v>0</v>
      </c>
      <c r="U380" s="415">
        <f t="shared" ref="U380:W380" si="449">+U397</f>
        <v>0</v>
      </c>
      <c r="V380" s="415">
        <f t="shared" si="449"/>
        <v>0</v>
      </c>
      <c r="W380" s="415">
        <f t="shared" si="449"/>
        <v>0</v>
      </c>
      <c r="X380" s="4009"/>
      <c r="Y380" s="4135"/>
    </row>
    <row r="381" spans="1:27" s="1237" customFormat="1" ht="12" customHeight="1">
      <c r="A381" s="4132"/>
      <c r="B381" s="645" t="s">
        <v>30</v>
      </c>
      <c r="C381" s="638"/>
      <c r="D381" s="646">
        <f>+D382+D383</f>
        <v>179867662</v>
      </c>
      <c r="E381" s="646">
        <f t="shared" ref="E381:R381" si="450">+E382+E383</f>
        <v>0</v>
      </c>
      <c r="F381" s="646">
        <f t="shared" si="450"/>
        <v>0</v>
      </c>
      <c r="G381" s="646">
        <f t="shared" si="450"/>
        <v>0</v>
      </c>
      <c r="H381" s="646">
        <f t="shared" si="450"/>
        <v>0</v>
      </c>
      <c r="I381" s="646">
        <f t="shared" si="450"/>
        <v>0</v>
      </c>
      <c r="J381" s="646">
        <f t="shared" si="450"/>
        <v>0</v>
      </c>
      <c r="K381" s="646">
        <f t="shared" si="450"/>
        <v>0</v>
      </c>
      <c r="L381" s="646">
        <f t="shared" si="450"/>
        <v>35516880</v>
      </c>
      <c r="M381" s="646">
        <f t="shared" ref="M381" si="451">+M382+M383</f>
        <v>108600480</v>
      </c>
      <c r="N381" s="646">
        <f t="shared" si="450"/>
        <v>73083600</v>
      </c>
      <c r="O381" s="646">
        <f t="shared" si="450"/>
        <v>57347182</v>
      </c>
      <c r="P381" s="646">
        <f t="shared" si="450"/>
        <v>13920000</v>
      </c>
      <c r="Q381" s="646">
        <f t="shared" si="450"/>
        <v>0</v>
      </c>
      <c r="R381" s="646">
        <f t="shared" si="450"/>
        <v>0</v>
      </c>
      <c r="S381" s="646">
        <f t="shared" ref="S381:T381" si="452">+S382+S383</f>
        <v>0</v>
      </c>
      <c r="T381" s="646">
        <f t="shared" si="452"/>
        <v>0</v>
      </c>
      <c r="U381" s="646">
        <f t="shared" ref="U381:W381" si="453">+U382+U383</f>
        <v>0</v>
      </c>
      <c r="V381" s="646">
        <f t="shared" si="453"/>
        <v>0</v>
      </c>
      <c r="W381" s="646">
        <f t="shared" si="453"/>
        <v>0</v>
      </c>
      <c r="X381" s="4009"/>
      <c r="Y381" s="4135"/>
    </row>
    <row r="382" spans="1:27" ht="12" customHeight="1" thickBot="1">
      <c r="A382" s="4132"/>
      <c r="B382" s="647" t="s">
        <v>33</v>
      </c>
      <c r="C382" s="637"/>
      <c r="D382" s="415">
        <f t="shared" ref="D382" si="454">+D400+D410</f>
        <v>179867662</v>
      </c>
      <c r="E382" s="415">
        <f>+E400+E410</f>
        <v>0</v>
      </c>
      <c r="F382" s="415">
        <f t="shared" ref="F382:R382" si="455">+F400+F410</f>
        <v>0</v>
      </c>
      <c r="G382" s="415">
        <f t="shared" si="455"/>
        <v>0</v>
      </c>
      <c r="H382" s="415">
        <f t="shared" si="455"/>
        <v>0</v>
      </c>
      <c r="I382" s="415">
        <f t="shared" si="455"/>
        <v>0</v>
      </c>
      <c r="J382" s="415">
        <f t="shared" si="455"/>
        <v>0</v>
      </c>
      <c r="K382" s="415">
        <f t="shared" si="455"/>
        <v>0</v>
      </c>
      <c r="L382" s="415">
        <f t="shared" si="455"/>
        <v>35516880</v>
      </c>
      <c r="M382" s="415">
        <f t="shared" ref="M382" si="456">+M400+M410</f>
        <v>108600480</v>
      </c>
      <c r="N382" s="415">
        <f t="shared" si="455"/>
        <v>73083600</v>
      </c>
      <c r="O382" s="415">
        <f t="shared" si="455"/>
        <v>57347182</v>
      </c>
      <c r="P382" s="415">
        <f t="shared" si="455"/>
        <v>13920000</v>
      </c>
      <c r="Q382" s="415">
        <f t="shared" si="455"/>
        <v>0</v>
      </c>
      <c r="R382" s="415">
        <f t="shared" si="455"/>
        <v>0</v>
      </c>
      <c r="S382" s="415">
        <f t="shared" ref="S382:T382" si="457">+S400+S410</f>
        <v>0</v>
      </c>
      <c r="T382" s="415">
        <f t="shared" si="457"/>
        <v>0</v>
      </c>
      <c r="U382" s="415">
        <f t="shared" ref="U382:W382" si="458">+U400+U410</f>
        <v>0</v>
      </c>
      <c r="V382" s="415">
        <f t="shared" si="458"/>
        <v>0</v>
      </c>
      <c r="W382" s="415">
        <f t="shared" si="458"/>
        <v>0</v>
      </c>
      <c r="X382" s="4009"/>
      <c r="Y382" s="4135"/>
    </row>
    <row r="383" spans="1:27" ht="12" hidden="1" customHeight="1" thickBot="1">
      <c r="A383" s="4133"/>
      <c r="B383" s="1415" t="s">
        <v>95</v>
      </c>
      <c r="C383" s="616"/>
      <c r="D383" s="617">
        <f t="shared" ref="D383" si="459">+D401</f>
        <v>0</v>
      </c>
      <c r="E383" s="617">
        <f>+E401</f>
        <v>0</v>
      </c>
      <c r="F383" s="617">
        <f t="shared" ref="F383:R383" si="460">+F401</f>
        <v>0</v>
      </c>
      <c r="G383" s="617">
        <f t="shared" si="460"/>
        <v>0</v>
      </c>
      <c r="H383" s="617">
        <f t="shared" si="460"/>
        <v>0</v>
      </c>
      <c r="I383" s="617">
        <f t="shared" si="460"/>
        <v>0</v>
      </c>
      <c r="J383" s="617">
        <f t="shared" si="460"/>
        <v>0</v>
      </c>
      <c r="K383" s="617">
        <f t="shared" si="460"/>
        <v>0</v>
      </c>
      <c r="L383" s="617">
        <f t="shared" si="460"/>
        <v>0</v>
      </c>
      <c r="M383" s="617">
        <f t="shared" ref="M383" si="461">+M401</f>
        <v>0</v>
      </c>
      <c r="N383" s="617">
        <f t="shared" si="460"/>
        <v>0</v>
      </c>
      <c r="O383" s="617">
        <f t="shared" si="460"/>
        <v>0</v>
      </c>
      <c r="P383" s="617">
        <f t="shared" si="460"/>
        <v>0</v>
      </c>
      <c r="Q383" s="617">
        <f t="shared" si="460"/>
        <v>0</v>
      </c>
      <c r="R383" s="617">
        <f t="shared" si="460"/>
        <v>0</v>
      </c>
      <c r="S383" s="1192">
        <f t="shared" ref="S383:T383" si="462">+S401</f>
        <v>0</v>
      </c>
      <c r="T383" s="1193">
        <f t="shared" si="462"/>
        <v>0</v>
      </c>
      <c r="U383" s="1193">
        <f t="shared" ref="U383:W383" si="463">+U401</f>
        <v>0</v>
      </c>
      <c r="V383" s="1193">
        <f t="shared" si="463"/>
        <v>0</v>
      </c>
      <c r="W383" s="1193">
        <f t="shared" si="463"/>
        <v>0</v>
      </c>
      <c r="X383" s="4010"/>
      <c r="Y383" s="1416"/>
    </row>
    <row r="384" spans="1:27" ht="42" customHeight="1">
      <c r="A384" s="4091" t="s">
        <v>406</v>
      </c>
      <c r="B384" s="2299" t="s">
        <v>552</v>
      </c>
      <c r="C384" s="480" t="s">
        <v>98</v>
      </c>
      <c r="D384" s="583"/>
      <c r="E384" s="584"/>
      <c r="F384" s="584"/>
      <c r="G384" s="584"/>
      <c r="H384" s="584"/>
      <c r="I384" s="584"/>
      <c r="J384" s="584"/>
      <c r="K384" s="584"/>
      <c r="L384" s="584"/>
      <c r="M384" s="585"/>
      <c r="N384" s="585"/>
      <c r="O384" s="584"/>
      <c r="P384" s="584"/>
      <c r="Q384" s="584"/>
      <c r="R384" s="1448"/>
      <c r="S384" s="1448"/>
      <c r="T384" s="1448"/>
      <c r="U384" s="1448"/>
      <c r="V384" s="1448"/>
      <c r="W384" s="1448"/>
      <c r="X384" s="446"/>
      <c r="Y384" s="4034" t="s">
        <v>126</v>
      </c>
    </row>
    <row r="385" spans="1:26" ht="12" customHeight="1">
      <c r="A385" s="4071"/>
      <c r="B385" s="381" t="s">
        <v>22</v>
      </c>
      <c r="C385" s="382"/>
      <c r="D385" s="586">
        <f>+D386+D390</f>
        <v>226200000</v>
      </c>
      <c r="E385" s="586">
        <f t="shared" ref="E385:P385" si="464">+E386+E390</f>
        <v>0</v>
      </c>
      <c r="F385" s="586">
        <f t="shared" si="464"/>
        <v>0</v>
      </c>
      <c r="G385" s="586">
        <f t="shared" si="464"/>
        <v>0</v>
      </c>
      <c r="H385" s="586">
        <f t="shared" si="464"/>
        <v>0</v>
      </c>
      <c r="I385" s="586">
        <f t="shared" si="464"/>
        <v>0</v>
      </c>
      <c r="J385" s="586">
        <f t="shared" si="464"/>
        <v>0</v>
      </c>
      <c r="K385" s="586">
        <f t="shared" si="464"/>
        <v>0</v>
      </c>
      <c r="L385" s="586">
        <f t="shared" si="464"/>
        <v>52200000</v>
      </c>
      <c r="M385" s="586">
        <f t="shared" ref="M385" si="465">+M386+M390</f>
        <v>156600000</v>
      </c>
      <c r="N385" s="586">
        <f t="shared" si="464"/>
        <v>104400000</v>
      </c>
      <c r="O385" s="586">
        <f t="shared" si="464"/>
        <v>69600000</v>
      </c>
      <c r="P385" s="586">
        <f t="shared" si="464"/>
        <v>0</v>
      </c>
      <c r="Q385" s="586">
        <f t="shared" ref="Q385:T385" si="466">+Q386+Q390</f>
        <v>0</v>
      </c>
      <c r="R385" s="586">
        <f t="shared" si="466"/>
        <v>0</v>
      </c>
      <c r="S385" s="586">
        <f t="shared" si="466"/>
        <v>0</v>
      </c>
      <c r="T385" s="586">
        <f t="shared" si="466"/>
        <v>0</v>
      </c>
      <c r="U385" s="586"/>
      <c r="V385" s="586"/>
      <c r="W385" s="586"/>
      <c r="X385" s="408">
        <f>+X386+X390</f>
        <v>0</v>
      </c>
      <c r="Y385" s="4035"/>
      <c r="Z385" s="1229">
        <f>+O385+P385</f>
        <v>69600000</v>
      </c>
    </row>
    <row r="386" spans="1:26">
      <c r="A386" s="4071"/>
      <c r="B386" s="533" t="s">
        <v>36</v>
      </c>
      <c r="C386" s="4129" t="s">
        <v>119</v>
      </c>
      <c r="D386" s="587">
        <f>+D387+D388+D389</f>
        <v>46409280</v>
      </c>
      <c r="E386" s="587">
        <f>+E387+E388+E389</f>
        <v>0</v>
      </c>
      <c r="F386" s="587">
        <f t="shared" ref="F386:P386" si="467">+F387+F388+F389</f>
        <v>0</v>
      </c>
      <c r="G386" s="587">
        <f t="shared" si="467"/>
        <v>0</v>
      </c>
      <c r="H386" s="587">
        <f t="shared" si="467"/>
        <v>0</v>
      </c>
      <c r="I386" s="587">
        <f t="shared" si="467"/>
        <v>0</v>
      </c>
      <c r="J386" s="587">
        <f t="shared" si="467"/>
        <v>0</v>
      </c>
      <c r="K386" s="587">
        <f t="shared" si="467"/>
        <v>0</v>
      </c>
      <c r="L386" s="588">
        <f t="shared" si="467"/>
        <v>11609280</v>
      </c>
      <c r="M386" s="588">
        <f t="shared" ref="M386" si="468">+M387+M388+M389</f>
        <v>32489280</v>
      </c>
      <c r="N386" s="588">
        <f t="shared" si="467"/>
        <v>20880000</v>
      </c>
      <c r="O386" s="588">
        <f t="shared" si="467"/>
        <v>13920000</v>
      </c>
      <c r="P386" s="587">
        <f t="shared" si="467"/>
        <v>0</v>
      </c>
      <c r="Q386" s="587">
        <f t="shared" ref="Q386:T386" si="469">+Q387+Q388+Q389</f>
        <v>0</v>
      </c>
      <c r="R386" s="587">
        <f t="shared" si="469"/>
        <v>0</v>
      </c>
      <c r="S386" s="587">
        <f t="shared" si="469"/>
        <v>0</v>
      </c>
      <c r="T386" s="587">
        <f t="shared" si="469"/>
        <v>0</v>
      </c>
      <c r="U386" s="590"/>
      <c r="V386" s="590"/>
      <c r="W386" s="590"/>
      <c r="X386" s="509">
        <f>+X387+X388+X389</f>
        <v>0</v>
      </c>
      <c r="Y386" s="4035"/>
    </row>
    <row r="387" spans="1:26" ht="11.25" customHeight="1">
      <c r="A387" s="4071"/>
      <c r="B387" s="510" t="s">
        <v>24</v>
      </c>
      <c r="C387" s="4136"/>
      <c r="D387" s="456">
        <f t="shared" ref="D387:D389" si="470">M387+O387+P387+Q387+R387+S387+T387+U387+V387+W387</f>
        <v>1169280</v>
      </c>
      <c r="E387" s="648">
        <v>0</v>
      </c>
      <c r="F387" s="1449"/>
      <c r="G387" s="648"/>
      <c r="H387" s="648"/>
      <c r="I387" s="648">
        <v>0</v>
      </c>
      <c r="J387" s="648">
        <v>0</v>
      </c>
      <c r="K387" s="648">
        <v>0</v>
      </c>
      <c r="L387" s="1450">
        <v>1169280</v>
      </c>
      <c r="M387" s="457">
        <f>+E387+I387+J387+K387+L387+N387</f>
        <v>1169280</v>
      </c>
      <c r="N387" s="1450">
        <f>9467714-8240000+5220000-6447714</f>
        <v>0</v>
      </c>
      <c r="O387" s="1450">
        <f>6456250+880000-5220000+12500-2128750</f>
        <v>0</v>
      </c>
      <c r="P387" s="648">
        <v>0</v>
      </c>
      <c r="Q387" s="648">
        <v>0</v>
      </c>
      <c r="R387" s="648">
        <v>0</v>
      </c>
      <c r="S387" s="648">
        <v>0</v>
      </c>
      <c r="T387" s="648">
        <v>0</v>
      </c>
      <c r="U387" s="1449"/>
      <c r="V387" s="1449"/>
      <c r="W387" s="1449"/>
      <c r="X387" s="416">
        <f>SUM(P387:T387)</f>
        <v>0</v>
      </c>
      <c r="Y387" s="4035"/>
      <c r="Z387" s="1056"/>
    </row>
    <row r="388" spans="1:26">
      <c r="A388" s="4071"/>
      <c r="B388" s="649" t="s">
        <v>94</v>
      </c>
      <c r="C388" s="4136"/>
      <c r="D388" s="456">
        <f t="shared" si="470"/>
        <v>14575000</v>
      </c>
      <c r="E388" s="650">
        <v>0</v>
      </c>
      <c r="F388" s="648"/>
      <c r="G388" s="648"/>
      <c r="H388" s="648"/>
      <c r="I388" s="648">
        <v>0</v>
      </c>
      <c r="J388" s="596">
        <v>0</v>
      </c>
      <c r="K388" s="650">
        <v>0</v>
      </c>
      <c r="L388" s="596">
        <v>0</v>
      </c>
      <c r="M388" s="457">
        <f>+E388+I388+J388+K388+L388+N388</f>
        <v>7293750</v>
      </c>
      <c r="N388" s="596">
        <v>7293750</v>
      </c>
      <c r="O388" s="596">
        <f>7293750-12500</f>
        <v>7281250</v>
      </c>
      <c r="P388" s="650">
        <v>0</v>
      </c>
      <c r="Q388" s="650">
        <v>0</v>
      </c>
      <c r="R388" s="650">
        <v>0</v>
      </c>
      <c r="S388" s="650">
        <v>0</v>
      </c>
      <c r="T388" s="650">
        <v>0</v>
      </c>
      <c r="U388" s="597"/>
      <c r="V388" s="597"/>
      <c r="W388" s="597"/>
      <c r="X388" s="416">
        <f>SUM(P388:T388)</f>
        <v>0</v>
      </c>
      <c r="Y388" s="4035"/>
    </row>
    <row r="389" spans="1:26" ht="12" customHeight="1">
      <c r="A389" s="4071"/>
      <c r="B389" s="651" t="s">
        <v>127</v>
      </c>
      <c r="C389" s="4121"/>
      <c r="D389" s="456">
        <f t="shared" si="470"/>
        <v>30665000</v>
      </c>
      <c r="E389" s="463">
        <v>0</v>
      </c>
      <c r="F389" s="597"/>
      <c r="G389" s="650"/>
      <c r="H389" s="652"/>
      <c r="I389" s="652">
        <v>0</v>
      </c>
      <c r="J389" s="1450">
        <v>0</v>
      </c>
      <c r="K389" s="1450">
        <v>0</v>
      </c>
      <c r="L389" s="1450">
        <f>20000000-4340000-5220000</f>
        <v>10440000</v>
      </c>
      <c r="M389" s="457">
        <f>+E389+I389+J389+K389+L389+N389</f>
        <v>24026250</v>
      </c>
      <c r="N389" s="1450">
        <f>13238536+4340000-3992286</f>
        <v>13586250</v>
      </c>
      <c r="O389" s="1450">
        <f>6250000+388750</f>
        <v>6638750</v>
      </c>
      <c r="P389" s="648">
        <v>0</v>
      </c>
      <c r="Q389" s="648">
        <v>0</v>
      </c>
      <c r="R389" s="648">
        <v>0</v>
      </c>
      <c r="S389" s="648">
        <v>0</v>
      </c>
      <c r="T389" s="648">
        <v>0</v>
      </c>
      <c r="U389" s="1449"/>
      <c r="V389" s="1449"/>
      <c r="W389" s="1449"/>
      <c r="X389" s="416">
        <f>SUM(P389:T389)</f>
        <v>0</v>
      </c>
      <c r="Y389" s="4035"/>
    </row>
    <row r="390" spans="1:26" s="1237" customFormat="1">
      <c r="A390" s="4071"/>
      <c r="B390" s="525" t="s">
        <v>30</v>
      </c>
      <c r="C390" s="1451"/>
      <c r="D390" s="466">
        <f>+D391+D392</f>
        <v>179790720</v>
      </c>
      <c r="E390" s="653">
        <f>+E391</f>
        <v>0</v>
      </c>
      <c r="F390" s="653">
        <f t="shared" ref="F390:K390" si="471">+F391</f>
        <v>0</v>
      </c>
      <c r="G390" s="653">
        <f t="shared" si="471"/>
        <v>0</v>
      </c>
      <c r="H390" s="653">
        <f t="shared" si="471"/>
        <v>0</v>
      </c>
      <c r="I390" s="653">
        <f t="shared" si="471"/>
        <v>0</v>
      </c>
      <c r="J390" s="653">
        <f t="shared" si="471"/>
        <v>0</v>
      </c>
      <c r="K390" s="653">
        <f t="shared" si="471"/>
        <v>0</v>
      </c>
      <c r="L390" s="653">
        <f t="shared" ref="L390:X390" si="472">+L391+L392</f>
        <v>40590720</v>
      </c>
      <c r="M390" s="653">
        <f t="shared" si="472"/>
        <v>124110720</v>
      </c>
      <c r="N390" s="653">
        <f t="shared" si="472"/>
        <v>83520000</v>
      </c>
      <c r="O390" s="653">
        <f t="shared" si="472"/>
        <v>55680000</v>
      </c>
      <c r="P390" s="653">
        <f t="shared" si="472"/>
        <v>0</v>
      </c>
      <c r="Q390" s="653">
        <f t="shared" si="472"/>
        <v>0</v>
      </c>
      <c r="R390" s="653">
        <f t="shared" si="472"/>
        <v>0</v>
      </c>
      <c r="S390" s="653">
        <f t="shared" si="472"/>
        <v>0</v>
      </c>
      <c r="T390" s="653">
        <f t="shared" si="472"/>
        <v>0</v>
      </c>
      <c r="U390" s="653"/>
      <c r="V390" s="653"/>
      <c r="W390" s="653"/>
      <c r="X390" s="509">
        <f t="shared" si="472"/>
        <v>0</v>
      </c>
      <c r="Y390" s="4035"/>
    </row>
    <row r="391" spans="1:26">
      <c r="A391" s="4071"/>
      <c r="B391" s="568" t="s">
        <v>33</v>
      </c>
      <c r="C391" s="1761"/>
      <c r="D391" s="456">
        <f t="shared" ref="D391:D392" si="473">M391+O391+P391+Q391+R391+S391+T391+U391+V391+W391</f>
        <v>179790720</v>
      </c>
      <c r="E391" s="464">
        <v>0</v>
      </c>
      <c r="F391" s="597"/>
      <c r="G391" s="597"/>
      <c r="H391" s="1452"/>
      <c r="I391" s="1449">
        <v>0</v>
      </c>
      <c r="J391" s="1453">
        <v>0</v>
      </c>
      <c r="K391" s="1453">
        <v>0</v>
      </c>
      <c r="L391" s="1453">
        <f>20000000+16540000-1023120+5073840</f>
        <v>40590720</v>
      </c>
      <c r="M391" s="457">
        <f>+E391+I391+J391+K391+L391+N391</f>
        <v>124110720</v>
      </c>
      <c r="N391" s="1453">
        <f>30000000+30900000+12180000+10440000</f>
        <v>83520000</v>
      </c>
      <c r="O391" s="1453">
        <f>20000000+28720000-12180000+19140000</f>
        <v>55680000</v>
      </c>
      <c r="P391" s="1449">
        <v>0</v>
      </c>
      <c r="Q391" s="1449">
        <v>0</v>
      </c>
      <c r="R391" s="1449">
        <v>0</v>
      </c>
      <c r="S391" s="1449">
        <v>0</v>
      </c>
      <c r="T391" s="1449">
        <v>0</v>
      </c>
      <c r="U391" s="1449"/>
      <c r="V391" s="1449"/>
      <c r="W391" s="1449"/>
      <c r="X391" s="416">
        <f>SUM(P391:T391)</f>
        <v>0</v>
      </c>
      <c r="Y391" s="4035"/>
    </row>
    <row r="392" spans="1:26" ht="12" hidden="1" customHeight="1">
      <c r="A392" s="4071"/>
      <c r="B392" s="568" t="s">
        <v>95</v>
      </c>
      <c r="C392" s="1761"/>
      <c r="D392" s="456">
        <f t="shared" si="473"/>
        <v>0</v>
      </c>
      <c r="E392" s="464">
        <v>0</v>
      </c>
      <c r="F392" s="597"/>
      <c r="G392" s="597"/>
      <c r="H392" s="1452"/>
      <c r="I392" s="1449">
        <v>0</v>
      </c>
      <c r="J392" s="1453">
        <v>0</v>
      </c>
      <c r="K392" s="1453">
        <v>0</v>
      </c>
      <c r="L392" s="1453">
        <f>1023120-1023120</f>
        <v>0</v>
      </c>
      <c r="M392" s="457">
        <f>+E392+I392+J392+K392+L392+N392</f>
        <v>0</v>
      </c>
      <c r="N392" s="1453">
        <v>0</v>
      </c>
      <c r="O392" s="1453">
        <v>0</v>
      </c>
      <c r="P392" s="1449">
        <v>0</v>
      </c>
      <c r="Q392" s="1449">
        <v>0</v>
      </c>
      <c r="R392" s="1449">
        <v>0</v>
      </c>
      <c r="S392" s="1449">
        <v>0</v>
      </c>
      <c r="T392" s="1449">
        <v>0</v>
      </c>
      <c r="U392" s="1449"/>
      <c r="V392" s="1449"/>
      <c r="W392" s="1449"/>
      <c r="X392" s="416">
        <f>SUM(P392:T392)</f>
        <v>0</v>
      </c>
      <c r="Y392" s="4035"/>
    </row>
    <row r="393" spans="1:26" s="1230" customFormat="1" ht="11.25" customHeight="1">
      <c r="A393" s="4071"/>
      <c r="B393" s="381" t="s">
        <v>34</v>
      </c>
      <c r="C393" s="382"/>
      <c r="D393" s="471">
        <f>+D394+D398</f>
        <v>225030720</v>
      </c>
      <c r="E393" s="471">
        <f t="shared" ref="E393:P393" si="474">+E394+E398</f>
        <v>0</v>
      </c>
      <c r="F393" s="471">
        <f t="shared" si="474"/>
        <v>0</v>
      </c>
      <c r="G393" s="471">
        <f t="shared" si="474"/>
        <v>0</v>
      </c>
      <c r="H393" s="471">
        <f t="shared" si="474"/>
        <v>0</v>
      </c>
      <c r="I393" s="471">
        <f t="shared" si="474"/>
        <v>0</v>
      </c>
      <c r="J393" s="471">
        <f t="shared" si="474"/>
        <v>5665000</v>
      </c>
      <c r="K393" s="471">
        <f t="shared" si="474"/>
        <v>6250000</v>
      </c>
      <c r="L393" s="471">
        <f>+L394+L398</f>
        <v>41766880</v>
      </c>
      <c r="M393" s="471">
        <f>+M394+M398</f>
        <v>140305630</v>
      </c>
      <c r="N393" s="471">
        <f t="shared" si="474"/>
        <v>86623750</v>
      </c>
      <c r="O393" s="1797">
        <f t="shared" si="474"/>
        <v>70805090</v>
      </c>
      <c r="P393" s="1797">
        <f t="shared" si="474"/>
        <v>13920000</v>
      </c>
      <c r="Q393" s="471">
        <f t="shared" ref="Q393:T393" si="475">+Q394+Q398</f>
        <v>0</v>
      </c>
      <c r="R393" s="471">
        <f t="shared" si="475"/>
        <v>0</v>
      </c>
      <c r="S393" s="471">
        <f t="shared" si="475"/>
        <v>0</v>
      </c>
      <c r="T393" s="471">
        <f t="shared" si="475"/>
        <v>0</v>
      </c>
      <c r="U393" s="471"/>
      <c r="V393" s="471"/>
      <c r="W393" s="471"/>
      <c r="X393" s="4008" t="s">
        <v>35</v>
      </c>
      <c r="Y393" s="4035"/>
      <c r="Z393" s="1229">
        <f>D393-'[3]Tab. 6A -Drogi'!$D$358</f>
        <v>24807184</v>
      </c>
    </row>
    <row r="394" spans="1:26" s="1773" customFormat="1" ht="12.75" customHeight="1">
      <c r="A394" s="4071"/>
      <c r="B394" s="533" t="s">
        <v>36</v>
      </c>
      <c r="C394" s="4129" t="s">
        <v>119</v>
      </c>
      <c r="D394" s="518">
        <f>+D395+D396+D397</f>
        <v>45240000</v>
      </c>
      <c r="E394" s="518">
        <f>+E395+E397</f>
        <v>0</v>
      </c>
      <c r="F394" s="518">
        <f t="shared" ref="F394:P394" si="476">+F395+F397</f>
        <v>0</v>
      </c>
      <c r="G394" s="518">
        <f t="shared" si="476"/>
        <v>0</v>
      </c>
      <c r="H394" s="518">
        <f t="shared" si="476"/>
        <v>0</v>
      </c>
      <c r="I394" s="543">
        <f t="shared" si="476"/>
        <v>0</v>
      </c>
      <c r="J394" s="518">
        <f t="shared" si="476"/>
        <v>5665000</v>
      </c>
      <c r="K394" s="518">
        <f t="shared" si="476"/>
        <v>6250000</v>
      </c>
      <c r="L394" s="518">
        <f>SUM(L395:L397)</f>
        <v>6250000</v>
      </c>
      <c r="M394" s="518">
        <f>SUM(M395:M397)</f>
        <v>31708750</v>
      </c>
      <c r="N394" s="543">
        <f t="shared" si="476"/>
        <v>13543750</v>
      </c>
      <c r="O394" s="518">
        <f t="shared" si="476"/>
        <v>13531250</v>
      </c>
      <c r="P394" s="518">
        <f t="shared" si="476"/>
        <v>0</v>
      </c>
      <c r="Q394" s="518">
        <f t="shared" ref="Q394:T394" si="477">+Q395+Q397</f>
        <v>0</v>
      </c>
      <c r="R394" s="518">
        <f t="shared" si="477"/>
        <v>0</v>
      </c>
      <c r="S394" s="518">
        <f t="shared" si="477"/>
        <v>0</v>
      </c>
      <c r="T394" s="518">
        <f t="shared" si="477"/>
        <v>0</v>
      </c>
      <c r="U394" s="518"/>
      <c r="V394" s="518"/>
      <c r="W394" s="518"/>
      <c r="X394" s="4009"/>
      <c r="Y394" s="4035"/>
    </row>
    <row r="395" spans="1:26" s="1232" customFormat="1">
      <c r="A395" s="4071"/>
      <c r="B395" s="649" t="s">
        <v>128</v>
      </c>
      <c r="C395" s="4136"/>
      <c r="D395" s="456">
        <f t="shared" ref="D395" si="478">M395+O395+P395+Q395+R395+S395+T395+U395+V395+W395</f>
        <v>14575000</v>
      </c>
      <c r="E395" s="1454">
        <v>0</v>
      </c>
      <c r="F395" s="1454"/>
      <c r="G395" s="1454"/>
      <c r="H395" s="1454"/>
      <c r="I395" s="1455">
        <v>0</v>
      </c>
      <c r="J395" s="1456">
        <v>0</v>
      </c>
      <c r="K395" s="1457">
        <v>0</v>
      </c>
      <c r="L395" s="1454">
        <v>0</v>
      </c>
      <c r="M395" s="457">
        <f>+E395+I395+J395+K395+L395+N395</f>
        <v>7293750</v>
      </c>
      <c r="N395" s="1660">
        <v>7293750</v>
      </c>
      <c r="O395" s="1454">
        <f>7293750-12500</f>
        <v>7281250</v>
      </c>
      <c r="P395" s="1454">
        <v>0</v>
      </c>
      <c r="Q395" s="1454">
        <v>0</v>
      </c>
      <c r="R395" s="1454">
        <v>0</v>
      </c>
      <c r="S395" s="1454">
        <v>0</v>
      </c>
      <c r="T395" s="1454">
        <v>0</v>
      </c>
      <c r="U395" s="1454"/>
      <c r="V395" s="1454"/>
      <c r="W395" s="1454"/>
      <c r="X395" s="4009"/>
      <c r="Y395" s="4035"/>
    </row>
    <row r="396" spans="1:26" s="1232" customFormat="1" ht="10.5" hidden="1" customHeight="1">
      <c r="A396" s="4071"/>
      <c r="B396" s="654" t="s">
        <v>129</v>
      </c>
      <c r="C396" s="4136"/>
      <c r="D396" s="456">
        <f t="shared" ref="D396" si="479">SUM(M396:T396)</f>
        <v>0</v>
      </c>
      <c r="E396" s="1454"/>
      <c r="F396" s="1454"/>
      <c r="G396" s="1454"/>
      <c r="H396" s="1454"/>
      <c r="I396" s="1458"/>
      <c r="J396" s="1459"/>
      <c r="K396" s="1460"/>
      <c r="L396" s="1454">
        <v>0</v>
      </c>
      <c r="M396" s="457">
        <f t="shared" ref="M396" si="480">+E396+I396+J396+K396+L396</f>
        <v>0</v>
      </c>
      <c r="N396" s="1660"/>
      <c r="O396" s="1454"/>
      <c r="P396" s="1454"/>
      <c r="Q396" s="1454"/>
      <c r="R396" s="1454"/>
      <c r="S396" s="1454"/>
      <c r="T396" s="1454"/>
      <c r="U396" s="1454"/>
      <c r="V396" s="1454"/>
      <c r="W396" s="1454"/>
      <c r="X396" s="4009"/>
      <c r="Y396" s="4035"/>
    </row>
    <row r="397" spans="1:26" s="1232" customFormat="1">
      <c r="A397" s="4071"/>
      <c r="B397" s="651" t="s">
        <v>127</v>
      </c>
      <c r="C397" s="4136"/>
      <c r="D397" s="1648">
        <f t="shared" ref="D397" si="481">M397+O397+P397+Q397+R397+S397+T397+U397+V397+W397</f>
        <v>30665000</v>
      </c>
      <c r="E397" s="1461">
        <v>0</v>
      </c>
      <c r="F397" s="1457"/>
      <c r="G397" s="1461"/>
      <c r="H397" s="1461"/>
      <c r="I397" s="595">
        <f>8238536-8238536</f>
        <v>0</v>
      </c>
      <c r="J397" s="652">
        <f>6250000-585000</f>
        <v>5665000</v>
      </c>
      <c r="K397" s="652">
        <v>6250000</v>
      </c>
      <c r="L397" s="648">
        <f>12500000-6250000</f>
        <v>6250000</v>
      </c>
      <c r="M397" s="457">
        <f>+E397+I397+J397+K397+L397+N397</f>
        <v>24415000</v>
      </c>
      <c r="N397" s="1450">
        <f>6250000</f>
        <v>6250000</v>
      </c>
      <c r="O397" s="648">
        <v>6250000</v>
      </c>
      <c r="P397" s="648">
        <v>0</v>
      </c>
      <c r="Q397" s="648">
        <v>0</v>
      </c>
      <c r="R397" s="648">
        <v>0</v>
      </c>
      <c r="S397" s="648">
        <v>0</v>
      </c>
      <c r="T397" s="648">
        <v>0</v>
      </c>
      <c r="U397" s="648"/>
      <c r="V397" s="648"/>
      <c r="W397" s="648"/>
      <c r="X397" s="4009"/>
      <c r="Y397" s="4035"/>
    </row>
    <row r="398" spans="1:26" s="1773" customFormat="1">
      <c r="A398" s="4071"/>
      <c r="B398" s="655" t="s">
        <v>30</v>
      </c>
      <c r="C398" s="4136"/>
      <c r="D398" s="472">
        <f>+D399+D400+D401</f>
        <v>179790720</v>
      </c>
      <c r="E398" s="526">
        <f>+E400</f>
        <v>0</v>
      </c>
      <c r="F398" s="526">
        <f t="shared" ref="F398:K398" si="482">+F400</f>
        <v>0</v>
      </c>
      <c r="G398" s="526">
        <f t="shared" si="482"/>
        <v>0</v>
      </c>
      <c r="H398" s="526">
        <f t="shared" si="482"/>
        <v>0</v>
      </c>
      <c r="I398" s="526">
        <f t="shared" si="482"/>
        <v>0</v>
      </c>
      <c r="J398" s="526">
        <f t="shared" si="482"/>
        <v>0</v>
      </c>
      <c r="K398" s="526">
        <f t="shared" si="482"/>
        <v>0</v>
      </c>
      <c r="L398" s="526">
        <f>+L399+L400+L401</f>
        <v>35516880</v>
      </c>
      <c r="M398" s="526">
        <f t="shared" ref="M398:P398" si="483">+M399+M400+M401</f>
        <v>108596880</v>
      </c>
      <c r="N398" s="526">
        <f t="shared" si="483"/>
        <v>73080000</v>
      </c>
      <c r="O398" s="2300">
        <f t="shared" si="483"/>
        <v>57273840</v>
      </c>
      <c r="P398" s="2300">
        <f t="shared" si="483"/>
        <v>13920000</v>
      </c>
      <c r="Q398" s="526">
        <f t="shared" ref="Q398:T398" si="484">+Q400</f>
        <v>0</v>
      </c>
      <c r="R398" s="526">
        <f t="shared" si="484"/>
        <v>0</v>
      </c>
      <c r="S398" s="526">
        <f t="shared" si="484"/>
        <v>0</v>
      </c>
      <c r="T398" s="526">
        <f t="shared" si="484"/>
        <v>0</v>
      </c>
      <c r="U398" s="526"/>
      <c r="V398" s="526"/>
      <c r="W398" s="526"/>
      <c r="X398" s="4009"/>
      <c r="Y398" s="4035"/>
    </row>
    <row r="399" spans="1:26" s="1773" customFormat="1" ht="10.5" hidden="1" customHeight="1">
      <c r="A399" s="4071"/>
      <c r="B399" s="654" t="s">
        <v>129</v>
      </c>
      <c r="C399" s="4136"/>
      <c r="D399" s="474">
        <f>+E399+I399+J399+K399+L399+N399+O399+P399</f>
        <v>0</v>
      </c>
      <c r="E399" s="526"/>
      <c r="F399" s="518"/>
      <c r="G399" s="526"/>
      <c r="H399" s="526"/>
      <c r="I399" s="526"/>
      <c r="J399" s="526"/>
      <c r="K399" s="526"/>
      <c r="L399" s="1461">
        <v>0</v>
      </c>
      <c r="M399" s="1462"/>
      <c r="N399" s="1661"/>
      <c r="O399" s="2301"/>
      <c r="P399" s="2301"/>
      <c r="Q399" s="1463"/>
      <c r="R399" s="1463"/>
      <c r="S399" s="1463"/>
      <c r="T399" s="1463"/>
      <c r="U399" s="1463"/>
      <c r="V399" s="1463"/>
      <c r="W399" s="1463"/>
      <c r="X399" s="4009"/>
      <c r="Y399" s="4035"/>
    </row>
    <row r="400" spans="1:26" s="1232" customFormat="1" ht="13.5" thickBot="1">
      <c r="A400" s="4071"/>
      <c r="B400" s="510" t="s">
        <v>33</v>
      </c>
      <c r="C400" s="4136"/>
      <c r="D400" s="456">
        <f t="shared" ref="D400:D401" si="485">M400+O400+P400+Q400+R400+S400+T400+U400+V400+W400</f>
        <v>179790720</v>
      </c>
      <c r="E400" s="1461">
        <v>0</v>
      </c>
      <c r="F400" s="1457"/>
      <c r="G400" s="1461"/>
      <c r="H400" s="1461"/>
      <c r="I400" s="648">
        <v>0</v>
      </c>
      <c r="J400" s="648">
        <v>0</v>
      </c>
      <c r="K400" s="648">
        <v>0</v>
      </c>
      <c r="L400" s="648">
        <f>20000000+16540000-1023120</f>
        <v>35516880</v>
      </c>
      <c r="M400" s="457">
        <f>+E400+I400+J400+K400+L400+N400</f>
        <v>108596880</v>
      </c>
      <c r="N400" s="1662">
        <f>30000000+30900000+12180000</f>
        <v>73080000</v>
      </c>
      <c r="O400" s="2298">
        <f>20000000+28720000-12180000+13465841+7267999</f>
        <v>57273840</v>
      </c>
      <c r="P400" s="2298">
        <f>21187999-7267999</f>
        <v>13920000</v>
      </c>
      <c r="Q400" s="1464">
        <v>0</v>
      </c>
      <c r="R400" s="1464">
        <v>0</v>
      </c>
      <c r="S400" s="1464">
        <v>0</v>
      </c>
      <c r="T400" s="1464">
        <v>0</v>
      </c>
      <c r="U400" s="1464"/>
      <c r="V400" s="1464"/>
      <c r="W400" s="1464"/>
      <c r="X400" s="4009"/>
      <c r="Y400" s="4035"/>
    </row>
    <row r="401" spans="1:29" s="1232" customFormat="1" ht="11.25" hidden="1" customHeight="1" thickBot="1">
      <c r="A401" s="4072"/>
      <c r="B401" s="519" t="s">
        <v>95</v>
      </c>
      <c r="C401" s="4137"/>
      <c r="D401" s="456">
        <f t="shared" si="485"/>
        <v>0</v>
      </c>
      <c r="E401" s="1465">
        <v>0</v>
      </c>
      <c r="F401" s="1466"/>
      <c r="G401" s="1465"/>
      <c r="H401" s="1465"/>
      <c r="I401" s="599">
        <v>0</v>
      </c>
      <c r="J401" s="599">
        <v>0</v>
      </c>
      <c r="K401" s="599">
        <v>0</v>
      </c>
      <c r="L401" s="599">
        <f>1023120-1023120</f>
        <v>0</v>
      </c>
      <c r="M401" s="477">
        <f>L401+E401+I401+J401+K401</f>
        <v>0</v>
      </c>
      <c r="N401" s="1663">
        <v>0</v>
      </c>
      <c r="O401" s="1467">
        <v>0</v>
      </c>
      <c r="P401" s="1467">
        <v>0</v>
      </c>
      <c r="Q401" s="1467">
        <v>0</v>
      </c>
      <c r="R401" s="1467">
        <v>0</v>
      </c>
      <c r="S401" s="1468">
        <v>0</v>
      </c>
      <c r="T401" s="797">
        <v>0</v>
      </c>
      <c r="U401" s="797"/>
      <c r="V401" s="797"/>
      <c r="W401" s="797"/>
      <c r="X401" s="4010"/>
      <c r="Y401" s="1756"/>
    </row>
    <row r="402" spans="1:29" ht="18" customHeight="1">
      <c r="A402" s="4091" t="s">
        <v>585</v>
      </c>
      <c r="B402" s="1283" t="s">
        <v>130</v>
      </c>
      <c r="C402" s="480" t="s">
        <v>131</v>
      </c>
      <c r="D402" s="579"/>
      <c r="E402" s="553"/>
      <c r="F402" s="554"/>
      <c r="G402" s="553"/>
      <c r="H402" s="553"/>
      <c r="I402" s="553"/>
      <c r="J402" s="553"/>
      <c r="K402" s="553"/>
      <c r="L402" s="553"/>
      <c r="M402" s="553"/>
      <c r="N402" s="553"/>
      <c r="O402" s="553"/>
      <c r="P402" s="555"/>
      <c r="Q402" s="555"/>
      <c r="R402" s="555"/>
      <c r="S402" s="555"/>
      <c r="T402" s="555"/>
      <c r="U402" s="555"/>
      <c r="V402" s="555"/>
      <c r="W402" s="555"/>
      <c r="X402" s="446"/>
      <c r="Y402" s="3900" t="s">
        <v>123</v>
      </c>
      <c r="AC402" s="1233"/>
    </row>
    <row r="403" spans="1:29" ht="14.25" customHeight="1">
      <c r="A403" s="4071"/>
      <c r="B403" s="381" t="s">
        <v>22</v>
      </c>
      <c r="C403" s="382"/>
      <c r="D403" s="485">
        <f t="shared" ref="D403:P403" si="486">+D404+D406</f>
        <v>135200</v>
      </c>
      <c r="E403" s="485">
        <f t="shared" si="486"/>
        <v>0</v>
      </c>
      <c r="F403" s="485">
        <f t="shared" si="486"/>
        <v>0</v>
      </c>
      <c r="G403" s="485">
        <f t="shared" si="486"/>
        <v>0</v>
      </c>
      <c r="H403" s="485">
        <f t="shared" si="486"/>
        <v>0</v>
      </c>
      <c r="I403" s="485">
        <f t="shared" si="486"/>
        <v>0</v>
      </c>
      <c r="J403" s="485">
        <f t="shared" si="486"/>
        <v>0</v>
      </c>
      <c r="K403" s="485">
        <f t="shared" si="486"/>
        <v>0</v>
      </c>
      <c r="L403" s="485">
        <f t="shared" si="486"/>
        <v>0</v>
      </c>
      <c r="M403" s="485">
        <f t="shared" ref="M403" si="487">+M404+M406</f>
        <v>6326</v>
      </c>
      <c r="N403" s="485">
        <f t="shared" si="486"/>
        <v>6326</v>
      </c>
      <c r="O403" s="485">
        <f t="shared" si="486"/>
        <v>128874</v>
      </c>
      <c r="P403" s="485">
        <f t="shared" si="486"/>
        <v>0</v>
      </c>
      <c r="Q403" s="485"/>
      <c r="R403" s="485"/>
      <c r="S403" s="486"/>
      <c r="T403" s="485"/>
      <c r="U403" s="485"/>
      <c r="V403" s="485"/>
      <c r="W403" s="485"/>
      <c r="X403" s="487">
        <f>+X404+X406</f>
        <v>0</v>
      </c>
      <c r="Y403" s="3901"/>
      <c r="Z403" s="1229">
        <f>+O403+P403+Q403+R403</f>
        <v>128874</v>
      </c>
      <c r="AA403" s="1056"/>
      <c r="AB403" s="1056"/>
      <c r="AC403" s="1056"/>
    </row>
    <row r="404" spans="1:29" ht="14.25" customHeight="1">
      <c r="A404" s="4071"/>
      <c r="B404" s="533" t="s">
        <v>36</v>
      </c>
      <c r="C404" s="4129" t="s">
        <v>119</v>
      </c>
      <c r="D404" s="488">
        <f>+D405</f>
        <v>58258</v>
      </c>
      <c r="E404" s="488">
        <f t="shared" ref="E404:P404" si="488">+E405</f>
        <v>0</v>
      </c>
      <c r="F404" s="488">
        <f t="shared" si="488"/>
        <v>0</v>
      </c>
      <c r="G404" s="488">
        <f t="shared" si="488"/>
        <v>0</v>
      </c>
      <c r="H404" s="488">
        <f t="shared" si="488"/>
        <v>0</v>
      </c>
      <c r="I404" s="488">
        <f t="shared" si="488"/>
        <v>0</v>
      </c>
      <c r="J404" s="488">
        <f t="shared" si="488"/>
        <v>0</v>
      </c>
      <c r="K404" s="488">
        <f t="shared" si="488"/>
        <v>0</v>
      </c>
      <c r="L404" s="488">
        <f t="shared" si="488"/>
        <v>0</v>
      </c>
      <c r="M404" s="488">
        <f t="shared" si="488"/>
        <v>2726</v>
      </c>
      <c r="N404" s="488">
        <f t="shared" si="488"/>
        <v>2726</v>
      </c>
      <c r="O404" s="488">
        <f t="shared" si="488"/>
        <v>55532</v>
      </c>
      <c r="P404" s="488">
        <f t="shared" si="488"/>
        <v>0</v>
      </c>
      <c r="Q404" s="488"/>
      <c r="R404" s="488"/>
      <c r="S404" s="558"/>
      <c r="T404" s="488"/>
      <c r="U404" s="488"/>
      <c r="V404" s="488"/>
      <c r="W404" s="488"/>
      <c r="X404" s="509">
        <f>+X405</f>
        <v>0</v>
      </c>
      <c r="Y404" s="3901"/>
      <c r="Z404" s="1056"/>
    </row>
    <row r="405" spans="1:29">
      <c r="A405" s="4071"/>
      <c r="B405" s="534" t="s">
        <v>24</v>
      </c>
      <c r="C405" s="4130"/>
      <c r="D405" s="456">
        <f t="shared" ref="D405" si="489">M405+O405+P405+Q405+R405+S405+T405+U405+V405+W405</f>
        <v>58258</v>
      </c>
      <c r="E405" s="463">
        <f>+F405+G405+H405</f>
        <v>0</v>
      </c>
      <c r="F405" s="464">
        <v>0</v>
      </c>
      <c r="G405" s="463">
        <v>0</v>
      </c>
      <c r="H405" s="463">
        <v>0</v>
      </c>
      <c r="I405" s="463">
        <f>140382-140382</f>
        <v>0</v>
      </c>
      <c r="J405" s="539"/>
      <c r="K405" s="501"/>
      <c r="L405" s="463"/>
      <c r="M405" s="457">
        <f>+E405+I405+J405+K405+L405+N405</f>
        <v>2726</v>
      </c>
      <c r="N405" s="464">
        <f>40886-38160</f>
        <v>2726</v>
      </c>
      <c r="O405" s="464">
        <f>40886-23514+38160</f>
        <v>55532</v>
      </c>
      <c r="P405" s="464">
        <v>0</v>
      </c>
      <c r="Q405" s="464"/>
      <c r="R405" s="464"/>
      <c r="S405" s="463"/>
      <c r="T405" s="464"/>
      <c r="U405" s="464"/>
      <c r="V405" s="464"/>
      <c r="W405" s="464"/>
      <c r="X405" s="416">
        <f>SUM(P405:T405)</f>
        <v>0</v>
      </c>
      <c r="Y405" s="3901"/>
    </row>
    <row r="406" spans="1:29" ht="14.25" customHeight="1">
      <c r="A406" s="4071"/>
      <c r="B406" s="525" t="s">
        <v>30</v>
      </c>
      <c r="C406" s="4130"/>
      <c r="D406" s="466">
        <f>+D407</f>
        <v>76942</v>
      </c>
      <c r="E406" s="466">
        <f t="shared" ref="E406:P406" si="490">+E407</f>
        <v>0</v>
      </c>
      <c r="F406" s="466">
        <f t="shared" si="490"/>
        <v>0</v>
      </c>
      <c r="G406" s="466">
        <f t="shared" si="490"/>
        <v>0</v>
      </c>
      <c r="H406" s="466">
        <f t="shared" si="490"/>
        <v>0</v>
      </c>
      <c r="I406" s="466">
        <f t="shared" si="490"/>
        <v>0</v>
      </c>
      <c r="J406" s="466">
        <f t="shared" si="490"/>
        <v>0</v>
      </c>
      <c r="K406" s="466">
        <f t="shared" si="490"/>
        <v>0</v>
      </c>
      <c r="L406" s="466">
        <f t="shared" si="490"/>
        <v>0</v>
      </c>
      <c r="M406" s="466">
        <f t="shared" si="490"/>
        <v>3600</v>
      </c>
      <c r="N406" s="466">
        <f t="shared" si="490"/>
        <v>3600</v>
      </c>
      <c r="O406" s="466">
        <f t="shared" si="490"/>
        <v>73342</v>
      </c>
      <c r="P406" s="466">
        <f t="shared" si="490"/>
        <v>0</v>
      </c>
      <c r="Q406" s="466"/>
      <c r="R406" s="466"/>
      <c r="S406" s="467"/>
      <c r="T406" s="466"/>
      <c r="U406" s="466"/>
      <c r="V406" s="466"/>
      <c r="W406" s="466"/>
      <c r="X406" s="509">
        <f>+X407</f>
        <v>0</v>
      </c>
      <c r="Y406" s="3901"/>
    </row>
    <row r="407" spans="1:29">
      <c r="A407" s="4071"/>
      <c r="B407" s="470" t="s">
        <v>33</v>
      </c>
      <c r="C407" s="4130"/>
      <c r="D407" s="456">
        <f t="shared" ref="D407" si="491">M407+O407+P407+Q407+R407+S407+T407+U407+V407+W407</f>
        <v>76942</v>
      </c>
      <c r="E407" s="463">
        <f>+F407+G407+H407</f>
        <v>0</v>
      </c>
      <c r="F407" s="464">
        <v>0</v>
      </c>
      <c r="G407" s="464">
        <v>0</v>
      </c>
      <c r="H407" s="463">
        <v>0</v>
      </c>
      <c r="I407" s="463">
        <f>163508-163508</f>
        <v>0</v>
      </c>
      <c r="J407" s="463"/>
      <c r="K407" s="463"/>
      <c r="L407" s="463">
        <v>0</v>
      </c>
      <c r="M407" s="457">
        <f>+E407+I407+J407+K407+L407+N407</f>
        <v>3600</v>
      </c>
      <c r="N407" s="463">
        <f>54000-50400</f>
        <v>3600</v>
      </c>
      <c r="O407" s="463">
        <f>54000-31058+50400</f>
        <v>73342</v>
      </c>
      <c r="P407" s="464">
        <v>0</v>
      </c>
      <c r="Q407" s="464"/>
      <c r="R407" s="464"/>
      <c r="S407" s="463"/>
      <c r="T407" s="464"/>
      <c r="U407" s="464"/>
      <c r="V407" s="464"/>
      <c r="W407" s="464"/>
      <c r="X407" s="416">
        <f>SUM(P407:T407)</f>
        <v>0</v>
      </c>
      <c r="Y407" s="3901"/>
    </row>
    <row r="408" spans="1:29" s="1230" customFormat="1" ht="14.25" customHeight="1">
      <c r="A408" s="4117"/>
      <c r="B408" s="381" t="s">
        <v>34</v>
      </c>
      <c r="C408" s="382"/>
      <c r="D408" s="471">
        <f>+D409</f>
        <v>76942</v>
      </c>
      <c r="E408" s="471">
        <f t="shared" ref="E408:P409" si="492">+E409</f>
        <v>0</v>
      </c>
      <c r="F408" s="471">
        <f t="shared" si="492"/>
        <v>0</v>
      </c>
      <c r="G408" s="471">
        <f t="shared" si="492"/>
        <v>0</v>
      </c>
      <c r="H408" s="471">
        <f t="shared" si="492"/>
        <v>0</v>
      </c>
      <c r="I408" s="471">
        <f t="shared" si="492"/>
        <v>0</v>
      </c>
      <c r="J408" s="471">
        <f t="shared" si="492"/>
        <v>0</v>
      </c>
      <c r="K408" s="471">
        <f t="shared" si="492"/>
        <v>0</v>
      </c>
      <c r="L408" s="471">
        <f t="shared" si="492"/>
        <v>0</v>
      </c>
      <c r="M408" s="471">
        <f t="shared" si="492"/>
        <v>3600</v>
      </c>
      <c r="N408" s="471">
        <f t="shared" si="492"/>
        <v>3600</v>
      </c>
      <c r="O408" s="471">
        <f t="shared" si="492"/>
        <v>73342</v>
      </c>
      <c r="P408" s="471">
        <f t="shared" si="492"/>
        <v>0</v>
      </c>
      <c r="Q408" s="471"/>
      <c r="R408" s="471"/>
      <c r="S408" s="450"/>
      <c r="T408" s="471"/>
      <c r="U408" s="471"/>
      <c r="V408" s="471"/>
      <c r="W408" s="471"/>
      <c r="X408" s="4002" t="s">
        <v>35</v>
      </c>
      <c r="Y408" s="4127"/>
    </row>
    <row r="409" spans="1:29" s="1232" customFormat="1" ht="14.25" customHeight="1">
      <c r="A409" s="4117"/>
      <c r="B409" s="525" t="s">
        <v>30</v>
      </c>
      <c r="C409" s="4129" t="s">
        <v>119</v>
      </c>
      <c r="D409" s="518">
        <f>+D410</f>
        <v>76942</v>
      </c>
      <c r="E409" s="518">
        <f t="shared" si="492"/>
        <v>0</v>
      </c>
      <c r="F409" s="518">
        <f t="shared" si="492"/>
        <v>0</v>
      </c>
      <c r="G409" s="518">
        <f t="shared" si="492"/>
        <v>0</v>
      </c>
      <c r="H409" s="518">
        <f t="shared" si="492"/>
        <v>0</v>
      </c>
      <c r="I409" s="518">
        <f t="shared" si="492"/>
        <v>0</v>
      </c>
      <c r="J409" s="518">
        <f t="shared" si="492"/>
        <v>0</v>
      </c>
      <c r="K409" s="518">
        <f t="shared" si="492"/>
        <v>0</v>
      </c>
      <c r="L409" s="518">
        <f t="shared" si="492"/>
        <v>0</v>
      </c>
      <c r="M409" s="518">
        <f t="shared" si="492"/>
        <v>3600</v>
      </c>
      <c r="N409" s="543">
        <f t="shared" si="492"/>
        <v>3600</v>
      </c>
      <c r="O409" s="543">
        <f t="shared" si="492"/>
        <v>73342</v>
      </c>
      <c r="P409" s="518">
        <f t="shared" si="492"/>
        <v>0</v>
      </c>
      <c r="Q409" s="518"/>
      <c r="R409" s="518"/>
      <c r="S409" s="526"/>
      <c r="T409" s="518"/>
      <c r="U409" s="518"/>
      <c r="V409" s="518"/>
      <c r="W409" s="518"/>
      <c r="X409" s="4003"/>
      <c r="Y409" s="4127"/>
    </row>
    <row r="410" spans="1:29" s="1232" customFormat="1" ht="14.25" customHeight="1" thickBot="1">
      <c r="A410" s="4118"/>
      <c r="B410" s="580" t="s">
        <v>33</v>
      </c>
      <c r="C410" s="4126"/>
      <c r="D410" s="1652">
        <f t="shared" ref="D410" si="493">M410+O410+P410+Q410+R410+S410+T410+U410+V410+W410</f>
        <v>76942</v>
      </c>
      <c r="E410" s="572">
        <f>+F410+G410+H410</f>
        <v>0</v>
      </c>
      <c r="F410" s="573">
        <v>0</v>
      </c>
      <c r="G410" s="572">
        <v>0</v>
      </c>
      <c r="H410" s="572">
        <v>0</v>
      </c>
      <c r="I410" s="572">
        <v>0</v>
      </c>
      <c r="J410" s="572">
        <v>0</v>
      </c>
      <c r="K410" s="572"/>
      <c r="L410" s="572">
        <v>0</v>
      </c>
      <c r="M410" s="1652">
        <f>+E410+I410+J410+K410+L410+N410</f>
        <v>3600</v>
      </c>
      <c r="N410" s="574">
        <f>108000-54000-50400</f>
        <v>3600</v>
      </c>
      <c r="O410" s="574">
        <f>22942+50400</f>
        <v>73342</v>
      </c>
      <c r="P410" s="575">
        <v>0</v>
      </c>
      <c r="Q410" s="575"/>
      <c r="R410" s="575"/>
      <c r="S410" s="575"/>
      <c r="T410" s="575"/>
      <c r="U410" s="575"/>
      <c r="V410" s="575"/>
      <c r="W410" s="575"/>
      <c r="X410" s="4004"/>
      <c r="Y410" s="4128"/>
    </row>
    <row r="411" spans="1:29" ht="15" customHeight="1">
      <c r="A411" s="4096" t="s">
        <v>547</v>
      </c>
      <c r="B411" s="986" t="s">
        <v>435</v>
      </c>
      <c r="C411" s="656"/>
      <c r="D411" s="628"/>
      <c r="E411" s="628"/>
      <c r="F411" s="628"/>
      <c r="G411" s="628"/>
      <c r="H411" s="628"/>
      <c r="I411" s="628"/>
      <c r="J411" s="628"/>
      <c r="K411" s="628"/>
      <c r="L411" s="629"/>
      <c r="M411" s="629"/>
      <c r="N411" s="629"/>
      <c r="O411" s="629"/>
      <c r="P411" s="629"/>
      <c r="Q411" s="629"/>
      <c r="R411" s="629"/>
      <c r="S411" s="629"/>
      <c r="T411" s="629"/>
      <c r="U411" s="629"/>
      <c r="V411" s="629"/>
      <c r="W411" s="629"/>
      <c r="X411" s="1615"/>
      <c r="Y411" s="4099"/>
    </row>
    <row r="412" spans="1:29" ht="12.75" customHeight="1">
      <c r="A412" s="4097"/>
      <c r="B412" s="381" t="s">
        <v>22</v>
      </c>
      <c r="C412" s="658"/>
      <c r="D412" s="631">
        <f>+D413+D415</f>
        <v>74272</v>
      </c>
      <c r="E412" s="631"/>
      <c r="F412" s="631"/>
      <c r="G412" s="631"/>
      <c r="H412" s="631"/>
      <c r="I412" s="631"/>
      <c r="J412" s="631"/>
      <c r="K412" s="631"/>
      <c r="L412" s="631"/>
      <c r="M412" s="631">
        <f t="shared" ref="M412" si="494">+M413+M415</f>
        <v>15720</v>
      </c>
      <c r="N412" s="631">
        <f t="shared" ref="N412:Q412" si="495">+N413+N415</f>
        <v>15720</v>
      </c>
      <c r="O412" s="631">
        <f t="shared" si="495"/>
        <v>58552</v>
      </c>
      <c r="P412" s="631">
        <f t="shared" si="495"/>
        <v>0</v>
      </c>
      <c r="Q412" s="631">
        <f t="shared" si="495"/>
        <v>0</v>
      </c>
      <c r="R412" s="631">
        <f t="shared" ref="R412:T412" si="496">+R413+R415</f>
        <v>0</v>
      </c>
      <c r="S412" s="631">
        <f t="shared" si="496"/>
        <v>0</v>
      </c>
      <c r="T412" s="631">
        <f t="shared" si="496"/>
        <v>0</v>
      </c>
      <c r="U412" s="631">
        <f t="shared" ref="U412:W412" si="497">+U413+U415</f>
        <v>0</v>
      </c>
      <c r="V412" s="631">
        <f t="shared" si="497"/>
        <v>0</v>
      </c>
      <c r="W412" s="631">
        <f t="shared" si="497"/>
        <v>0</v>
      </c>
      <c r="X412" s="487">
        <f>+X413+X415</f>
        <v>0</v>
      </c>
      <c r="Y412" s="4100"/>
      <c r="Z412" s="1229">
        <f>+O412+P412+Q412+R412</f>
        <v>58552</v>
      </c>
    </row>
    <row r="413" spans="1:29" ht="13.5" customHeight="1">
      <c r="A413" s="4097"/>
      <c r="B413" s="987" t="s">
        <v>36</v>
      </c>
      <c r="C413" s="659"/>
      <c r="D413" s="610">
        <f>+D414</f>
        <v>2504</v>
      </c>
      <c r="E413" s="610"/>
      <c r="F413" s="610"/>
      <c r="G413" s="610"/>
      <c r="H413" s="610"/>
      <c r="I413" s="610"/>
      <c r="J413" s="610"/>
      <c r="K413" s="610"/>
      <c r="L413" s="610"/>
      <c r="M413" s="610">
        <f t="shared" ref="M413:X413" si="498">+M414</f>
        <v>0</v>
      </c>
      <c r="N413" s="610">
        <f t="shared" si="498"/>
        <v>0</v>
      </c>
      <c r="O413" s="610">
        <f t="shared" si="498"/>
        <v>2504</v>
      </c>
      <c r="P413" s="610">
        <f t="shared" si="498"/>
        <v>0</v>
      </c>
      <c r="Q413" s="610">
        <f t="shared" si="498"/>
        <v>0</v>
      </c>
      <c r="R413" s="610">
        <f t="shared" si="498"/>
        <v>0</v>
      </c>
      <c r="S413" s="610">
        <f t="shared" si="498"/>
        <v>0</v>
      </c>
      <c r="T413" s="610">
        <f t="shared" si="498"/>
        <v>0</v>
      </c>
      <c r="U413" s="610">
        <f t="shared" si="498"/>
        <v>0</v>
      </c>
      <c r="V413" s="610">
        <f t="shared" si="498"/>
        <v>0</v>
      </c>
      <c r="W413" s="610">
        <f t="shared" si="498"/>
        <v>0</v>
      </c>
      <c r="X413" s="489">
        <f t="shared" si="498"/>
        <v>0</v>
      </c>
      <c r="Y413" s="4100"/>
    </row>
    <row r="414" spans="1:29" s="1066" customFormat="1">
      <c r="A414" s="4097"/>
      <c r="B414" s="1281" t="s">
        <v>24</v>
      </c>
      <c r="C414" s="660"/>
      <c r="D414" s="415">
        <f>+D423</f>
        <v>2504</v>
      </c>
      <c r="E414" s="415"/>
      <c r="F414" s="415"/>
      <c r="G414" s="415"/>
      <c r="H414" s="415"/>
      <c r="I414" s="415"/>
      <c r="J414" s="415"/>
      <c r="K414" s="415"/>
      <c r="L414" s="415"/>
      <c r="M414" s="415">
        <f>+M423</f>
        <v>0</v>
      </c>
      <c r="N414" s="415">
        <f t="shared" ref="N414:T414" si="499">+N423</f>
        <v>0</v>
      </c>
      <c r="O414" s="415">
        <f t="shared" si="499"/>
        <v>2504</v>
      </c>
      <c r="P414" s="415">
        <f t="shared" si="499"/>
        <v>0</v>
      </c>
      <c r="Q414" s="415">
        <f t="shared" si="499"/>
        <v>0</v>
      </c>
      <c r="R414" s="415">
        <f t="shared" si="499"/>
        <v>0</v>
      </c>
      <c r="S414" s="415">
        <f t="shared" si="499"/>
        <v>0</v>
      </c>
      <c r="T414" s="415">
        <f t="shared" si="499"/>
        <v>0</v>
      </c>
      <c r="U414" s="415">
        <f t="shared" ref="U414:W414" si="500">+U423</f>
        <v>0</v>
      </c>
      <c r="V414" s="415">
        <f t="shared" si="500"/>
        <v>0</v>
      </c>
      <c r="W414" s="415">
        <f t="shared" si="500"/>
        <v>0</v>
      </c>
      <c r="X414" s="416">
        <f>SUM(P414:T414)</f>
        <v>0</v>
      </c>
      <c r="Y414" s="4100"/>
    </row>
    <row r="415" spans="1:29" ht="14.25" customHeight="1">
      <c r="A415" s="4097"/>
      <c r="B415" s="988" t="s">
        <v>30</v>
      </c>
      <c r="C415" s="661"/>
      <c r="D415" s="411">
        <f>+D416</f>
        <v>71768</v>
      </c>
      <c r="E415" s="411"/>
      <c r="F415" s="411"/>
      <c r="G415" s="411"/>
      <c r="H415" s="411"/>
      <c r="I415" s="411"/>
      <c r="J415" s="411"/>
      <c r="K415" s="411"/>
      <c r="L415" s="411"/>
      <c r="M415" s="411">
        <f t="shared" ref="M415:X415" si="501">+M416</f>
        <v>15720</v>
      </c>
      <c r="N415" s="411">
        <f t="shared" si="501"/>
        <v>15720</v>
      </c>
      <c r="O415" s="411">
        <f t="shared" si="501"/>
        <v>56048</v>
      </c>
      <c r="P415" s="411">
        <f t="shared" si="501"/>
        <v>0</v>
      </c>
      <c r="Q415" s="411">
        <f t="shared" si="501"/>
        <v>0</v>
      </c>
      <c r="R415" s="411">
        <f t="shared" si="501"/>
        <v>0</v>
      </c>
      <c r="S415" s="411">
        <f t="shared" si="501"/>
        <v>0</v>
      </c>
      <c r="T415" s="411">
        <f t="shared" si="501"/>
        <v>0</v>
      </c>
      <c r="U415" s="411">
        <f t="shared" si="501"/>
        <v>0</v>
      </c>
      <c r="V415" s="411">
        <f t="shared" si="501"/>
        <v>0</v>
      </c>
      <c r="W415" s="411">
        <f t="shared" si="501"/>
        <v>0</v>
      </c>
      <c r="X415" s="489">
        <f t="shared" si="501"/>
        <v>0</v>
      </c>
      <c r="Y415" s="4100"/>
    </row>
    <row r="416" spans="1:29" s="1066" customFormat="1" ht="11.25" customHeight="1">
      <c r="A416" s="4097"/>
      <c r="B416" s="1282" t="s">
        <v>32</v>
      </c>
      <c r="C416" s="660"/>
      <c r="D416" s="415">
        <f t="shared" ref="D416" si="502">+D425</f>
        <v>71768</v>
      </c>
      <c r="E416" s="415"/>
      <c r="F416" s="415"/>
      <c r="G416" s="415"/>
      <c r="H416" s="415"/>
      <c r="I416" s="415"/>
      <c r="J416" s="415"/>
      <c r="K416" s="415"/>
      <c r="L416" s="415"/>
      <c r="M416" s="415">
        <f t="shared" ref="M416:T416" si="503">+M425</f>
        <v>15720</v>
      </c>
      <c r="N416" s="415">
        <f t="shared" si="503"/>
        <v>15720</v>
      </c>
      <c r="O416" s="415">
        <f t="shared" si="503"/>
        <v>56048</v>
      </c>
      <c r="P416" s="415">
        <f t="shared" si="503"/>
        <v>0</v>
      </c>
      <c r="Q416" s="415">
        <f t="shared" si="503"/>
        <v>0</v>
      </c>
      <c r="R416" s="415">
        <f t="shared" si="503"/>
        <v>0</v>
      </c>
      <c r="S416" s="415">
        <f t="shared" si="503"/>
        <v>0</v>
      </c>
      <c r="T416" s="415">
        <f t="shared" si="503"/>
        <v>0</v>
      </c>
      <c r="U416" s="415">
        <f t="shared" ref="U416:W416" si="504">+U425</f>
        <v>0</v>
      </c>
      <c r="V416" s="415">
        <f t="shared" si="504"/>
        <v>0</v>
      </c>
      <c r="W416" s="415">
        <f t="shared" si="504"/>
        <v>0</v>
      </c>
      <c r="X416" s="416">
        <f>SUM(P416:T416)</f>
        <v>0</v>
      </c>
      <c r="Y416" s="4100"/>
    </row>
    <row r="417" spans="1:29" ht="13.5" customHeight="1">
      <c r="A417" s="4097"/>
      <c r="B417" s="381" t="s">
        <v>34</v>
      </c>
      <c r="C417" s="658"/>
      <c r="D417" s="631">
        <f>+D418</f>
        <v>71768</v>
      </c>
      <c r="E417" s="631"/>
      <c r="F417" s="631"/>
      <c r="G417" s="631"/>
      <c r="H417" s="631"/>
      <c r="I417" s="631"/>
      <c r="J417" s="631"/>
      <c r="K417" s="631"/>
      <c r="L417" s="631"/>
      <c r="M417" s="631">
        <f>+M418</f>
        <v>71768</v>
      </c>
      <c r="N417" s="631">
        <f>+N418</f>
        <v>71768</v>
      </c>
      <c r="O417" s="631">
        <f t="shared" ref="O417:W418" si="505">+O418</f>
        <v>0</v>
      </c>
      <c r="P417" s="631">
        <f t="shared" si="505"/>
        <v>0</v>
      </c>
      <c r="Q417" s="631">
        <f t="shared" si="505"/>
        <v>0</v>
      </c>
      <c r="R417" s="631">
        <f t="shared" si="505"/>
        <v>0</v>
      </c>
      <c r="S417" s="631">
        <f t="shared" si="505"/>
        <v>0</v>
      </c>
      <c r="T417" s="631">
        <f t="shared" si="505"/>
        <v>0</v>
      </c>
      <c r="U417" s="631">
        <f t="shared" si="505"/>
        <v>0</v>
      </c>
      <c r="V417" s="631">
        <f t="shared" si="505"/>
        <v>0</v>
      </c>
      <c r="W417" s="631">
        <f t="shared" si="505"/>
        <v>0</v>
      </c>
      <c r="X417" s="4002" t="s">
        <v>35</v>
      </c>
      <c r="Y417" s="4100"/>
    </row>
    <row r="418" spans="1:29" ht="12" customHeight="1">
      <c r="A418" s="4097"/>
      <c r="B418" s="989" t="s">
        <v>30</v>
      </c>
      <c r="C418" s="659"/>
      <c r="D418" s="610">
        <f>+D419</f>
        <v>71768</v>
      </c>
      <c r="E418" s="610"/>
      <c r="F418" s="610"/>
      <c r="G418" s="610"/>
      <c r="H418" s="610"/>
      <c r="I418" s="610"/>
      <c r="J418" s="610"/>
      <c r="K418" s="610"/>
      <c r="L418" s="610"/>
      <c r="M418" s="610">
        <f>+M419</f>
        <v>71768</v>
      </c>
      <c r="N418" s="610">
        <f>+N419</f>
        <v>71768</v>
      </c>
      <c r="O418" s="610">
        <f t="shared" si="505"/>
        <v>0</v>
      </c>
      <c r="P418" s="610">
        <f t="shared" si="505"/>
        <v>0</v>
      </c>
      <c r="Q418" s="610">
        <f t="shared" si="505"/>
        <v>0</v>
      </c>
      <c r="R418" s="610">
        <f t="shared" si="505"/>
        <v>0</v>
      </c>
      <c r="S418" s="610">
        <f t="shared" si="505"/>
        <v>0</v>
      </c>
      <c r="T418" s="610">
        <f t="shared" si="505"/>
        <v>0</v>
      </c>
      <c r="U418" s="610">
        <f t="shared" si="505"/>
        <v>0</v>
      </c>
      <c r="V418" s="610">
        <f t="shared" si="505"/>
        <v>0</v>
      </c>
      <c r="W418" s="610">
        <f t="shared" si="505"/>
        <v>0</v>
      </c>
      <c r="X418" s="4003"/>
      <c r="Y418" s="4100"/>
    </row>
    <row r="419" spans="1:29" ht="13.5" customHeight="1" thickBot="1">
      <c r="A419" s="4098"/>
      <c r="B419" s="642" t="s">
        <v>32</v>
      </c>
      <c r="C419" s="660"/>
      <c r="D419" s="415">
        <f t="shared" ref="D419" si="506">+D428</f>
        <v>71768</v>
      </c>
      <c r="E419" s="415"/>
      <c r="F419" s="415"/>
      <c r="G419" s="415"/>
      <c r="H419" s="415"/>
      <c r="I419" s="415"/>
      <c r="J419" s="415"/>
      <c r="K419" s="415"/>
      <c r="L419" s="415"/>
      <c r="M419" s="415">
        <f t="shared" ref="M419:T419" si="507">+M428</f>
        <v>71768</v>
      </c>
      <c r="N419" s="415">
        <f t="shared" si="507"/>
        <v>71768</v>
      </c>
      <c r="O419" s="415">
        <f t="shared" si="507"/>
        <v>0</v>
      </c>
      <c r="P419" s="415">
        <f t="shared" si="507"/>
        <v>0</v>
      </c>
      <c r="Q419" s="415">
        <f t="shared" si="507"/>
        <v>0</v>
      </c>
      <c r="R419" s="415">
        <f t="shared" si="507"/>
        <v>0</v>
      </c>
      <c r="S419" s="1192">
        <f t="shared" si="507"/>
        <v>0</v>
      </c>
      <c r="T419" s="1193">
        <f t="shared" si="507"/>
        <v>0</v>
      </c>
      <c r="U419" s="1193">
        <f t="shared" ref="U419:W419" si="508">+U428</f>
        <v>0</v>
      </c>
      <c r="V419" s="1193">
        <f t="shared" si="508"/>
        <v>0</v>
      </c>
      <c r="W419" s="1193">
        <f t="shared" si="508"/>
        <v>0</v>
      </c>
      <c r="X419" s="4004"/>
      <c r="Y419" s="4101"/>
    </row>
    <row r="420" spans="1:29" ht="38.25" customHeight="1">
      <c r="A420" s="4102" t="s">
        <v>586</v>
      </c>
      <c r="B420" s="1944" t="s">
        <v>548</v>
      </c>
      <c r="C420" s="1945" t="s">
        <v>131</v>
      </c>
      <c r="D420" s="1946"/>
      <c r="E420" s="1947"/>
      <c r="F420" s="1948"/>
      <c r="G420" s="1947"/>
      <c r="H420" s="1947"/>
      <c r="I420" s="1947"/>
      <c r="J420" s="1947"/>
      <c r="K420" s="1947"/>
      <c r="L420" s="1947"/>
      <c r="M420" s="1947"/>
      <c r="N420" s="1947"/>
      <c r="O420" s="1947"/>
      <c r="P420" s="1949"/>
      <c r="Q420" s="1949"/>
      <c r="R420" s="1949"/>
      <c r="S420" s="1950"/>
      <c r="T420" s="1950"/>
      <c r="U420" s="1950"/>
      <c r="V420" s="1950"/>
      <c r="W420" s="1950"/>
      <c r="X420" s="1951"/>
      <c r="Y420" s="3897" t="s">
        <v>132</v>
      </c>
      <c r="AC420" s="1233"/>
    </row>
    <row r="421" spans="1:29" ht="14.25" customHeight="1">
      <c r="A421" s="4103"/>
      <c r="B421" s="1822" t="s">
        <v>22</v>
      </c>
      <c r="C421" s="1796"/>
      <c r="D421" s="1952">
        <f>+D422+D424</f>
        <v>74272</v>
      </c>
      <c r="E421" s="1952"/>
      <c r="F421" s="1952"/>
      <c r="G421" s="1952"/>
      <c r="H421" s="1952"/>
      <c r="I421" s="1952"/>
      <c r="J421" s="1952"/>
      <c r="K421" s="1952"/>
      <c r="L421" s="1952"/>
      <c r="M421" s="1952">
        <f t="shared" ref="M421" si="509">+M422+M424</f>
        <v>15720</v>
      </c>
      <c r="N421" s="1952">
        <f t="shared" ref="N421:R421" si="510">+N422+N424</f>
        <v>15720</v>
      </c>
      <c r="O421" s="1952">
        <f t="shared" si="510"/>
        <v>58552</v>
      </c>
      <c r="P421" s="1953">
        <f t="shared" si="510"/>
        <v>0</v>
      </c>
      <c r="Q421" s="1953">
        <f t="shared" si="510"/>
        <v>0</v>
      </c>
      <c r="R421" s="1953">
        <f t="shared" si="510"/>
        <v>0</v>
      </c>
      <c r="S421" s="1953">
        <f t="shared" ref="S421:U421" si="511">+S422+S424</f>
        <v>0</v>
      </c>
      <c r="T421" s="1953">
        <f t="shared" si="511"/>
        <v>0</v>
      </c>
      <c r="U421" s="1953">
        <f t="shared" si="511"/>
        <v>0</v>
      </c>
      <c r="V421" s="1953">
        <f t="shared" ref="V421:W421" si="512">+V422+V424</f>
        <v>0</v>
      </c>
      <c r="W421" s="1953">
        <f t="shared" si="512"/>
        <v>0</v>
      </c>
      <c r="X421" s="1798">
        <f>+X422+X424</f>
        <v>0</v>
      </c>
      <c r="Y421" s="3898"/>
      <c r="Z421" s="1229">
        <f>+O421+P421+Q421+R421</f>
        <v>58552</v>
      </c>
      <c r="AA421" s="1056"/>
      <c r="AB421" s="1056"/>
      <c r="AC421" s="1056"/>
    </row>
    <row r="422" spans="1:29" ht="14.25" customHeight="1">
      <c r="A422" s="4103"/>
      <c r="B422" s="1954" t="s">
        <v>36</v>
      </c>
      <c r="C422" s="4108" t="s">
        <v>133</v>
      </c>
      <c r="D422" s="1955">
        <f>+D423</f>
        <v>2504</v>
      </c>
      <c r="E422" s="1955"/>
      <c r="F422" s="1955"/>
      <c r="G422" s="1955"/>
      <c r="H422" s="1955"/>
      <c r="I422" s="1955"/>
      <c r="J422" s="1955"/>
      <c r="K422" s="1955"/>
      <c r="L422" s="1955"/>
      <c r="M422" s="1955">
        <f t="shared" ref="M422:X422" si="513">+M423</f>
        <v>0</v>
      </c>
      <c r="N422" s="1955">
        <f t="shared" si="513"/>
        <v>0</v>
      </c>
      <c r="O422" s="1955">
        <f t="shared" si="513"/>
        <v>2504</v>
      </c>
      <c r="P422" s="1956">
        <f t="shared" si="513"/>
        <v>0</v>
      </c>
      <c r="Q422" s="1956">
        <f t="shared" si="513"/>
        <v>0</v>
      </c>
      <c r="R422" s="1956">
        <f t="shared" si="513"/>
        <v>0</v>
      </c>
      <c r="S422" s="1956">
        <f t="shared" si="513"/>
        <v>0</v>
      </c>
      <c r="T422" s="1956">
        <f t="shared" si="513"/>
        <v>0</v>
      </c>
      <c r="U422" s="1956">
        <f t="shared" si="513"/>
        <v>0</v>
      </c>
      <c r="V422" s="1956">
        <f t="shared" si="513"/>
        <v>0</v>
      </c>
      <c r="W422" s="1956">
        <f t="shared" si="513"/>
        <v>0</v>
      </c>
      <c r="X422" s="1815">
        <f t="shared" si="513"/>
        <v>0</v>
      </c>
      <c r="Y422" s="3898"/>
      <c r="Z422" s="1056"/>
    </row>
    <row r="423" spans="1:29" ht="14.25" customHeight="1">
      <c r="A423" s="4103"/>
      <c r="B423" s="1957" t="s">
        <v>24</v>
      </c>
      <c r="C423" s="4109"/>
      <c r="D423" s="1958">
        <f t="shared" ref="D423" si="514">M423+O423+P423+Q423+R423+S423+T423+U423+V423+W423</f>
        <v>2504</v>
      </c>
      <c r="E423" s="1820"/>
      <c r="F423" s="1959"/>
      <c r="G423" s="1820"/>
      <c r="H423" s="1820"/>
      <c r="I423" s="1820"/>
      <c r="J423" s="1960"/>
      <c r="K423" s="1371"/>
      <c r="L423" s="1820"/>
      <c r="M423" s="1961">
        <f>+E423+I423+J423+K423+L423+N423</f>
        <v>0</v>
      </c>
      <c r="N423" s="1959">
        <f>4240-4240</f>
        <v>0</v>
      </c>
      <c r="O423" s="1959">
        <f>4555+4240-6291</f>
        <v>2504</v>
      </c>
      <c r="P423" s="1962">
        <v>0</v>
      </c>
      <c r="Q423" s="1962">
        <v>0</v>
      </c>
      <c r="R423" s="1962">
        <v>0</v>
      </c>
      <c r="S423" s="1962">
        <v>0</v>
      </c>
      <c r="T423" s="1962">
        <v>0</v>
      </c>
      <c r="U423" s="1962">
        <v>0</v>
      </c>
      <c r="V423" s="1962">
        <v>0</v>
      </c>
      <c r="W423" s="1962">
        <v>0</v>
      </c>
      <c r="X423" s="1963">
        <f>SUM(P423:T423)</f>
        <v>0</v>
      </c>
      <c r="Y423" s="3898"/>
    </row>
    <row r="424" spans="1:29" ht="14.25" customHeight="1">
      <c r="A424" s="4103"/>
      <c r="B424" s="1851" t="s">
        <v>30</v>
      </c>
      <c r="C424" s="4109"/>
      <c r="D424" s="1811">
        <f t="shared" ref="D424:X424" si="515">+D425</f>
        <v>71768</v>
      </c>
      <c r="E424" s="1811"/>
      <c r="F424" s="1811"/>
      <c r="G424" s="1811"/>
      <c r="H424" s="1811"/>
      <c r="I424" s="1811"/>
      <c r="J424" s="1811"/>
      <c r="K424" s="1811"/>
      <c r="L424" s="1811"/>
      <c r="M424" s="1811">
        <f t="shared" si="515"/>
        <v>15720</v>
      </c>
      <c r="N424" s="1811">
        <f t="shared" si="515"/>
        <v>15720</v>
      </c>
      <c r="O424" s="1811">
        <f t="shared" si="515"/>
        <v>56048</v>
      </c>
      <c r="P424" s="1964">
        <f t="shared" si="515"/>
        <v>0</v>
      </c>
      <c r="Q424" s="1964">
        <f t="shared" si="515"/>
        <v>0</v>
      </c>
      <c r="R424" s="1964">
        <f t="shared" si="515"/>
        <v>0</v>
      </c>
      <c r="S424" s="1964">
        <f t="shared" si="515"/>
        <v>0</v>
      </c>
      <c r="T424" s="1964">
        <f t="shared" si="515"/>
        <v>0</v>
      </c>
      <c r="U424" s="1964">
        <f t="shared" si="515"/>
        <v>0</v>
      </c>
      <c r="V424" s="1964">
        <f t="shared" si="515"/>
        <v>0</v>
      </c>
      <c r="W424" s="1964">
        <f t="shared" si="515"/>
        <v>0</v>
      </c>
      <c r="X424" s="1815">
        <f t="shared" si="515"/>
        <v>0</v>
      </c>
      <c r="Y424" s="3898"/>
    </row>
    <row r="425" spans="1:29" ht="14.25" customHeight="1">
      <c r="A425" s="4103"/>
      <c r="B425" s="1965" t="s">
        <v>32</v>
      </c>
      <c r="C425" s="4109"/>
      <c r="D425" s="1958">
        <f t="shared" ref="D425" si="516">M425+O425+P425+Q425+R425+S425+T425+U425+V425+W425</f>
        <v>71768</v>
      </c>
      <c r="E425" s="1820"/>
      <c r="F425" s="1959"/>
      <c r="G425" s="1959"/>
      <c r="H425" s="1820"/>
      <c r="I425" s="1820"/>
      <c r="J425" s="1820"/>
      <c r="K425" s="1820"/>
      <c r="L425" s="1820"/>
      <c r="M425" s="1961">
        <f>+E425+I425+J425+K425+L425+N425</f>
        <v>15720</v>
      </c>
      <c r="N425" s="1820">
        <v>15720</v>
      </c>
      <c r="O425" s="1820">
        <f>66693-10645</f>
        <v>56048</v>
      </c>
      <c r="P425" s="1962">
        <v>0</v>
      </c>
      <c r="Q425" s="1962">
        <v>0</v>
      </c>
      <c r="R425" s="1962">
        <v>0</v>
      </c>
      <c r="S425" s="1962">
        <v>0</v>
      </c>
      <c r="T425" s="1962">
        <v>0</v>
      </c>
      <c r="U425" s="1962">
        <v>0</v>
      </c>
      <c r="V425" s="1962">
        <v>0</v>
      </c>
      <c r="W425" s="1962">
        <v>0</v>
      </c>
      <c r="X425" s="1963">
        <f>SUM(P425:T425)</f>
        <v>0</v>
      </c>
      <c r="Y425" s="3898"/>
    </row>
    <row r="426" spans="1:29" s="1230" customFormat="1" ht="14.25" customHeight="1">
      <c r="A426" s="4104"/>
      <c r="B426" s="1822" t="s">
        <v>34</v>
      </c>
      <c r="C426" s="1796"/>
      <c r="D426" s="1797">
        <f>+D427</f>
        <v>71768</v>
      </c>
      <c r="E426" s="1797"/>
      <c r="F426" s="1797"/>
      <c r="G426" s="1797"/>
      <c r="H426" s="1797"/>
      <c r="I426" s="1797"/>
      <c r="J426" s="1797"/>
      <c r="K426" s="1797"/>
      <c r="L426" s="1797"/>
      <c r="M426" s="1797">
        <f t="shared" ref="M426:W427" si="517">+M427</f>
        <v>71768</v>
      </c>
      <c r="N426" s="1797">
        <f t="shared" si="517"/>
        <v>71768</v>
      </c>
      <c r="O426" s="1797">
        <f t="shared" si="517"/>
        <v>0</v>
      </c>
      <c r="P426" s="1966">
        <f t="shared" si="517"/>
        <v>0</v>
      </c>
      <c r="Q426" s="1966">
        <f t="shared" si="517"/>
        <v>0</v>
      </c>
      <c r="R426" s="1966">
        <f t="shared" si="517"/>
        <v>0</v>
      </c>
      <c r="S426" s="1966">
        <f t="shared" si="517"/>
        <v>0</v>
      </c>
      <c r="T426" s="1966">
        <f t="shared" si="517"/>
        <v>0</v>
      </c>
      <c r="U426" s="1966">
        <f t="shared" si="517"/>
        <v>0</v>
      </c>
      <c r="V426" s="1966">
        <f t="shared" si="517"/>
        <v>0</v>
      </c>
      <c r="W426" s="1966">
        <f t="shared" si="517"/>
        <v>0</v>
      </c>
      <c r="X426" s="4111" t="s">
        <v>35</v>
      </c>
      <c r="Y426" s="4106"/>
    </row>
    <row r="427" spans="1:29" s="1232" customFormat="1" ht="14.25" customHeight="1">
      <c r="A427" s="4104"/>
      <c r="B427" s="1851" t="s">
        <v>30</v>
      </c>
      <c r="C427" s="4108" t="s">
        <v>134</v>
      </c>
      <c r="D427" s="1967">
        <f>+D428</f>
        <v>71768</v>
      </c>
      <c r="E427" s="1967"/>
      <c r="F427" s="1967"/>
      <c r="G427" s="1967"/>
      <c r="H427" s="1967"/>
      <c r="I427" s="1967"/>
      <c r="J427" s="1967"/>
      <c r="K427" s="1967"/>
      <c r="L427" s="1967"/>
      <c r="M427" s="1968">
        <f t="shared" si="517"/>
        <v>71768</v>
      </c>
      <c r="N427" s="1968">
        <f t="shared" si="517"/>
        <v>71768</v>
      </c>
      <c r="O427" s="1968">
        <f t="shared" si="517"/>
        <v>0</v>
      </c>
      <c r="P427" s="1969">
        <f t="shared" si="517"/>
        <v>0</v>
      </c>
      <c r="Q427" s="1969">
        <f t="shared" si="517"/>
        <v>0</v>
      </c>
      <c r="R427" s="1969">
        <f t="shared" si="517"/>
        <v>0</v>
      </c>
      <c r="S427" s="1969">
        <f t="shared" si="517"/>
        <v>0</v>
      </c>
      <c r="T427" s="1969">
        <f t="shared" si="517"/>
        <v>0</v>
      </c>
      <c r="U427" s="1969">
        <f t="shared" si="517"/>
        <v>0</v>
      </c>
      <c r="V427" s="1969">
        <f t="shared" si="517"/>
        <v>0</v>
      </c>
      <c r="W427" s="1969">
        <f t="shared" si="517"/>
        <v>0</v>
      </c>
      <c r="X427" s="4112"/>
      <c r="Y427" s="4106"/>
    </row>
    <row r="428" spans="1:29" s="1232" customFormat="1" ht="14.25" customHeight="1" thickBot="1">
      <c r="A428" s="4105"/>
      <c r="B428" s="1970" t="s">
        <v>32</v>
      </c>
      <c r="C428" s="4110"/>
      <c r="D428" s="2267">
        <f t="shared" ref="D428" si="518">M428+O428+P428+Q428+R428+S428+T428+U428+V428+W428</f>
        <v>71768</v>
      </c>
      <c r="E428" s="1971"/>
      <c r="F428" s="1972"/>
      <c r="G428" s="1971"/>
      <c r="H428" s="1971"/>
      <c r="I428" s="1971"/>
      <c r="J428" s="1971"/>
      <c r="K428" s="1971"/>
      <c r="L428" s="1971"/>
      <c r="M428" s="2267">
        <f>+E428+I428+J428+K428+L428+N428</f>
        <v>71768</v>
      </c>
      <c r="N428" s="1973">
        <f>85595-3182-10645</f>
        <v>71768</v>
      </c>
      <c r="O428" s="1973">
        <v>0</v>
      </c>
      <c r="P428" s="1974">
        <v>0</v>
      </c>
      <c r="Q428" s="1974">
        <v>0</v>
      </c>
      <c r="R428" s="1974">
        <v>0</v>
      </c>
      <c r="S428" s="1974">
        <v>0</v>
      </c>
      <c r="T428" s="1974">
        <v>0</v>
      </c>
      <c r="U428" s="1974">
        <v>0</v>
      </c>
      <c r="V428" s="1974">
        <v>0</v>
      </c>
      <c r="W428" s="1974">
        <v>0</v>
      </c>
      <c r="X428" s="4113"/>
      <c r="Y428" s="4107"/>
      <c r="Z428" s="3115">
        <f>D428-D425</f>
        <v>0</v>
      </c>
    </row>
    <row r="429" spans="1:29" s="1066" customFormat="1" ht="27" customHeight="1" thickBot="1">
      <c r="A429" s="662" t="s">
        <v>135</v>
      </c>
      <c r="B429" s="663"/>
      <c r="C429" s="664"/>
      <c r="D429" s="665"/>
      <c r="E429" s="664"/>
      <c r="F429" s="664"/>
      <c r="G429" s="664"/>
      <c r="H429" s="664"/>
      <c r="I429" s="664"/>
      <c r="J429" s="664"/>
      <c r="K429" s="664"/>
      <c r="L429" s="664"/>
      <c r="M429" s="664"/>
      <c r="N429" s="664"/>
      <c r="O429" s="664"/>
      <c r="P429" s="664"/>
      <c r="Q429" s="664"/>
      <c r="R429" s="664"/>
      <c r="S429" s="664"/>
      <c r="T429" s="664"/>
      <c r="U429" s="664"/>
      <c r="V429" s="664"/>
      <c r="W429" s="664"/>
      <c r="X429" s="664"/>
      <c r="Y429" s="666"/>
    </row>
    <row r="430" spans="1:29" ht="15.75" customHeight="1">
      <c r="A430" s="4087"/>
      <c r="B430" s="999" t="s">
        <v>92</v>
      </c>
      <c r="C430" s="991"/>
      <c r="D430" s="1000">
        <f>+D431+D432</f>
        <v>987204706</v>
      </c>
      <c r="E430" s="1000">
        <f t="shared" ref="E430:Q430" si="519">+E431+E432</f>
        <v>7519680</v>
      </c>
      <c r="F430" s="1000">
        <f t="shared" si="519"/>
        <v>0</v>
      </c>
      <c r="G430" s="1000">
        <f t="shared" si="519"/>
        <v>5300000</v>
      </c>
      <c r="H430" s="1000">
        <f t="shared" si="519"/>
        <v>2219680</v>
      </c>
      <c r="I430" s="1000">
        <f t="shared" si="519"/>
        <v>3970141</v>
      </c>
      <c r="J430" s="1000">
        <f t="shared" si="519"/>
        <v>39661164</v>
      </c>
      <c r="K430" s="1000">
        <f t="shared" si="519"/>
        <v>39805712</v>
      </c>
      <c r="L430" s="1000">
        <f t="shared" si="519"/>
        <v>126663428</v>
      </c>
      <c r="M430" s="1000">
        <f t="shared" ref="M430" si="520">+M431+M432</f>
        <v>346280999</v>
      </c>
      <c r="N430" s="1000">
        <f t="shared" si="519"/>
        <v>128660874</v>
      </c>
      <c r="O430" s="1000">
        <f t="shared" si="519"/>
        <v>120341956</v>
      </c>
      <c r="P430" s="1000">
        <f t="shared" si="519"/>
        <v>120657009</v>
      </c>
      <c r="Q430" s="1000">
        <f t="shared" si="519"/>
        <v>120922981</v>
      </c>
      <c r="R430" s="1000">
        <f>+R431+R432</f>
        <v>116531761</v>
      </c>
      <c r="S430" s="1000">
        <f t="shared" ref="S430:W430" si="521">+S431+S432</f>
        <v>81835000</v>
      </c>
      <c r="T430" s="1000">
        <f t="shared" si="521"/>
        <v>80635000</v>
      </c>
      <c r="U430" s="1000">
        <f t="shared" si="521"/>
        <v>0</v>
      </c>
      <c r="V430" s="1000">
        <f t="shared" si="521"/>
        <v>0</v>
      </c>
      <c r="W430" s="1000">
        <f t="shared" si="521"/>
        <v>0</v>
      </c>
      <c r="X430" s="351">
        <f>+X431+X432</f>
        <v>520581751</v>
      </c>
      <c r="Y430" s="353"/>
      <c r="Z430" s="1229"/>
    </row>
    <row r="431" spans="1:29" ht="11.25" customHeight="1">
      <c r="A431" s="4088"/>
      <c r="B431" s="1001" t="s">
        <v>93</v>
      </c>
      <c r="C431" s="1002"/>
      <c r="D431" s="1003">
        <f>+D498+D502+D511+D515+D523+D535+D446</f>
        <v>800580614</v>
      </c>
      <c r="E431" s="1003">
        <f t="shared" ref="E431:W431" si="522">+E498+E502+E511+E515+E523+E535+E446</f>
        <v>0</v>
      </c>
      <c r="F431" s="1003">
        <f t="shared" si="522"/>
        <v>0</v>
      </c>
      <c r="G431" s="1003">
        <f t="shared" si="522"/>
        <v>0</v>
      </c>
      <c r="H431" s="1003">
        <f t="shared" si="522"/>
        <v>0</v>
      </c>
      <c r="I431" s="1003">
        <f t="shared" si="522"/>
        <v>0</v>
      </c>
      <c r="J431" s="1003">
        <f t="shared" si="522"/>
        <v>15514140</v>
      </c>
      <c r="K431" s="1003">
        <f t="shared" si="522"/>
        <v>12290445</v>
      </c>
      <c r="L431" s="1003">
        <f t="shared" si="522"/>
        <v>97847564</v>
      </c>
      <c r="M431" s="1003">
        <f t="shared" si="522"/>
        <v>214060952</v>
      </c>
      <c r="N431" s="1003">
        <f t="shared" si="522"/>
        <v>88408803</v>
      </c>
      <c r="O431" s="1003">
        <f t="shared" si="522"/>
        <v>95100461</v>
      </c>
      <c r="P431" s="1003">
        <f t="shared" si="522"/>
        <v>107874619</v>
      </c>
      <c r="Q431" s="1003">
        <f t="shared" si="522"/>
        <v>115032981</v>
      </c>
      <c r="R431" s="1003">
        <f t="shared" si="522"/>
        <v>110241601</v>
      </c>
      <c r="S431" s="1003">
        <f t="shared" si="522"/>
        <v>79135000</v>
      </c>
      <c r="T431" s="1003">
        <f t="shared" si="522"/>
        <v>79135000</v>
      </c>
      <c r="U431" s="1003">
        <f t="shared" si="522"/>
        <v>0</v>
      </c>
      <c r="V431" s="1003">
        <f t="shared" si="522"/>
        <v>0</v>
      </c>
      <c r="W431" s="1003">
        <f t="shared" si="522"/>
        <v>0</v>
      </c>
      <c r="X431" s="667">
        <f>+X498+X502+X511+X515+X523+X535+X446</f>
        <v>491419201</v>
      </c>
      <c r="Y431" s="353"/>
    </row>
    <row r="432" spans="1:29" ht="13.5" customHeight="1">
      <c r="A432" s="4088"/>
      <c r="B432" s="1004" t="s">
        <v>21</v>
      </c>
      <c r="C432" s="1005"/>
      <c r="D432" s="1006">
        <f>+D450+D454+D462+D466+D470+D474+D482+D486+D531+D494</f>
        <v>186624092</v>
      </c>
      <c r="E432" s="1006">
        <f t="shared" ref="E432:W432" si="523">+E450+E454+E462+E466+E470+E474+E482+E486+E531+E494</f>
        <v>7519680</v>
      </c>
      <c r="F432" s="1006">
        <f t="shared" si="523"/>
        <v>0</v>
      </c>
      <c r="G432" s="1006">
        <f t="shared" si="523"/>
        <v>5300000</v>
      </c>
      <c r="H432" s="1006">
        <f t="shared" si="523"/>
        <v>2219680</v>
      </c>
      <c r="I432" s="1006">
        <f t="shared" si="523"/>
        <v>3970141</v>
      </c>
      <c r="J432" s="1006">
        <f t="shared" si="523"/>
        <v>24147024</v>
      </c>
      <c r="K432" s="1006">
        <f t="shared" si="523"/>
        <v>27515267</v>
      </c>
      <c r="L432" s="1006">
        <f t="shared" si="523"/>
        <v>28815864</v>
      </c>
      <c r="M432" s="1006">
        <f t="shared" si="523"/>
        <v>132220047</v>
      </c>
      <c r="N432" s="1006">
        <f t="shared" si="523"/>
        <v>40252071</v>
      </c>
      <c r="O432" s="1006">
        <f t="shared" si="523"/>
        <v>25241495</v>
      </c>
      <c r="P432" s="1006">
        <f>+P450+P454+P462+P466+P470+P474+P482+P486+P531+P494</f>
        <v>12782390</v>
      </c>
      <c r="Q432" s="1006">
        <f t="shared" si="523"/>
        <v>5890000</v>
      </c>
      <c r="R432" s="1006">
        <f t="shared" si="523"/>
        <v>6290160</v>
      </c>
      <c r="S432" s="1006">
        <f t="shared" si="523"/>
        <v>2700000</v>
      </c>
      <c r="T432" s="1006">
        <f t="shared" si="523"/>
        <v>1500000</v>
      </c>
      <c r="U432" s="1006">
        <f t="shared" si="523"/>
        <v>0</v>
      </c>
      <c r="V432" s="1006">
        <f t="shared" si="523"/>
        <v>0</v>
      </c>
      <c r="W432" s="1006">
        <f t="shared" si="523"/>
        <v>0</v>
      </c>
      <c r="X432" s="667">
        <f t="shared" ref="X432" si="524">+X450+X454+X462+X466+X470+X474+X482+X486+X531+X494</f>
        <v>29162550</v>
      </c>
      <c r="Y432" s="353"/>
      <c r="Z432" s="1056"/>
    </row>
    <row r="433" spans="1:26" ht="12.75" customHeight="1">
      <c r="A433" s="4088"/>
      <c r="B433" s="668" t="s">
        <v>22</v>
      </c>
      <c r="C433" s="669"/>
      <c r="D433" s="670">
        <f>+D434</f>
        <v>987204706</v>
      </c>
      <c r="E433" s="670">
        <f t="shared" ref="E433:W434" si="525">+E434</f>
        <v>7519680</v>
      </c>
      <c r="F433" s="670">
        <f t="shared" si="525"/>
        <v>0</v>
      </c>
      <c r="G433" s="670">
        <f t="shared" si="525"/>
        <v>5300000</v>
      </c>
      <c r="H433" s="670">
        <f t="shared" si="525"/>
        <v>2219680</v>
      </c>
      <c r="I433" s="670">
        <f t="shared" si="525"/>
        <v>3970141</v>
      </c>
      <c r="J433" s="670">
        <f t="shared" si="525"/>
        <v>39661164</v>
      </c>
      <c r="K433" s="670">
        <f t="shared" si="525"/>
        <v>39805712</v>
      </c>
      <c r="L433" s="670">
        <f t="shared" si="525"/>
        <v>126663428</v>
      </c>
      <c r="M433" s="670">
        <f t="shared" si="525"/>
        <v>346280999</v>
      </c>
      <c r="N433" s="670">
        <f t="shared" si="525"/>
        <v>128660874</v>
      </c>
      <c r="O433" s="670">
        <f t="shared" si="525"/>
        <v>120341956</v>
      </c>
      <c r="P433" s="670">
        <f t="shared" si="525"/>
        <v>120657009</v>
      </c>
      <c r="Q433" s="670">
        <f t="shared" si="525"/>
        <v>120922981</v>
      </c>
      <c r="R433" s="670">
        <f t="shared" si="525"/>
        <v>116531761</v>
      </c>
      <c r="S433" s="670">
        <f t="shared" si="525"/>
        <v>81835000</v>
      </c>
      <c r="T433" s="670">
        <f t="shared" si="525"/>
        <v>80635000</v>
      </c>
      <c r="U433" s="670">
        <f t="shared" si="525"/>
        <v>0</v>
      </c>
      <c r="V433" s="670">
        <f t="shared" si="525"/>
        <v>0</v>
      </c>
      <c r="W433" s="670">
        <f t="shared" si="525"/>
        <v>0</v>
      </c>
      <c r="X433" s="671">
        <f>+X434</f>
        <v>520581751</v>
      </c>
      <c r="Y433" s="672"/>
      <c r="Z433" s="1056"/>
    </row>
    <row r="434" spans="1:26" s="948" customFormat="1" ht="11.25" customHeight="1">
      <c r="A434" s="4088"/>
      <c r="B434" s="673" t="s">
        <v>36</v>
      </c>
      <c r="C434" s="674"/>
      <c r="D434" s="675">
        <f>SUM(D435:D438)</f>
        <v>987204706</v>
      </c>
      <c r="E434" s="675">
        <f t="shared" ref="E434:Q434" si="526">SUM(E435:E438)</f>
        <v>7519680</v>
      </c>
      <c r="F434" s="675">
        <f t="shared" si="526"/>
        <v>0</v>
      </c>
      <c r="G434" s="675">
        <f t="shared" si="526"/>
        <v>5300000</v>
      </c>
      <c r="H434" s="675">
        <f t="shared" si="526"/>
        <v>2219680</v>
      </c>
      <c r="I434" s="675">
        <f t="shared" si="526"/>
        <v>3970141</v>
      </c>
      <c r="J434" s="675">
        <f t="shared" si="526"/>
        <v>39661164</v>
      </c>
      <c r="K434" s="675">
        <f t="shared" si="526"/>
        <v>39805712</v>
      </c>
      <c r="L434" s="675">
        <f t="shared" si="526"/>
        <v>126663428</v>
      </c>
      <c r="M434" s="675">
        <f t="shared" ref="M434" si="527">SUM(M435:M438)</f>
        <v>346280999</v>
      </c>
      <c r="N434" s="675">
        <f t="shared" si="526"/>
        <v>128660874</v>
      </c>
      <c r="O434" s="675">
        <f t="shared" si="526"/>
        <v>120341956</v>
      </c>
      <c r="P434" s="675">
        <f t="shared" si="526"/>
        <v>120657009</v>
      </c>
      <c r="Q434" s="675">
        <f t="shared" si="526"/>
        <v>120922981</v>
      </c>
      <c r="R434" s="675">
        <f>SUM(R435:R438)</f>
        <v>116531761</v>
      </c>
      <c r="S434" s="675">
        <f>+S435</f>
        <v>81835000</v>
      </c>
      <c r="T434" s="675">
        <f>+T435</f>
        <v>80635000</v>
      </c>
      <c r="U434" s="675">
        <f t="shared" si="525"/>
        <v>0</v>
      </c>
      <c r="V434" s="675">
        <f t="shared" si="525"/>
        <v>0</v>
      </c>
      <c r="W434" s="675">
        <f t="shared" si="525"/>
        <v>0</v>
      </c>
      <c r="X434" s="676">
        <f>SUM(X435:X437)</f>
        <v>520581751</v>
      </c>
      <c r="Y434" s="1760"/>
      <c r="Z434" s="947"/>
    </row>
    <row r="435" spans="1:26" ht="11.25" customHeight="1">
      <c r="A435" s="4088"/>
      <c r="B435" s="677" t="s">
        <v>24</v>
      </c>
      <c r="C435" s="678"/>
      <c r="D435" s="679">
        <f>+D448+D452+D456+D464+D468+D472+D476+D484+D488+D500+D504+D513+D517+D525+D533+D537+D496</f>
        <v>965398310</v>
      </c>
      <c r="E435" s="679">
        <f t="shared" ref="E435:W435" si="528">+E448+E452+E456+E464+E468+E472+E476+E484+E488+E500+E504+E513+E517+E525+E533+E537+E496</f>
        <v>7239894</v>
      </c>
      <c r="F435" s="679">
        <f t="shared" si="528"/>
        <v>0</v>
      </c>
      <c r="G435" s="679">
        <f t="shared" si="528"/>
        <v>5300000</v>
      </c>
      <c r="H435" s="679">
        <f t="shared" si="528"/>
        <v>1939894</v>
      </c>
      <c r="I435" s="679">
        <f t="shared" si="528"/>
        <v>1475647</v>
      </c>
      <c r="J435" s="679">
        <f t="shared" si="528"/>
        <v>39661164</v>
      </c>
      <c r="K435" s="679">
        <f t="shared" si="528"/>
        <v>39142887</v>
      </c>
      <c r="L435" s="679">
        <f t="shared" si="528"/>
        <v>123473676</v>
      </c>
      <c r="M435" s="679">
        <f t="shared" si="528"/>
        <v>336065441</v>
      </c>
      <c r="N435" s="679">
        <f t="shared" si="528"/>
        <v>125072173</v>
      </c>
      <c r="O435" s="679">
        <f>+O448+O452+O456+O464+O468+O472+O476+O484+O488+O500+O504+O513+O517+O525+O533+O537+O496</f>
        <v>110149532</v>
      </c>
      <c r="P435" s="679">
        <f>+P448+P452+P456+P464+P468+P472+P476+P484+P488+P500+P504+P513+P517+P525+P533+P537+P496</f>
        <v>119258595</v>
      </c>
      <c r="Q435" s="679">
        <f t="shared" si="528"/>
        <v>120922981</v>
      </c>
      <c r="R435" s="679">
        <f t="shared" si="528"/>
        <v>116531761</v>
      </c>
      <c r="S435" s="679">
        <f t="shared" si="528"/>
        <v>81835000</v>
      </c>
      <c r="T435" s="679">
        <f t="shared" si="528"/>
        <v>80635000</v>
      </c>
      <c r="U435" s="679">
        <f t="shared" si="528"/>
        <v>0</v>
      </c>
      <c r="V435" s="679">
        <f t="shared" si="528"/>
        <v>0</v>
      </c>
      <c r="W435" s="679">
        <f t="shared" si="528"/>
        <v>0</v>
      </c>
      <c r="X435" s="416">
        <f>SUM(P435:T435)</f>
        <v>519183337</v>
      </c>
      <c r="Y435" s="4089"/>
      <c r="Z435" s="1056"/>
    </row>
    <row r="436" spans="1:26" ht="12" customHeight="1">
      <c r="A436" s="4088"/>
      <c r="B436" s="677" t="s">
        <v>128</v>
      </c>
      <c r="C436" s="678"/>
      <c r="D436" s="679">
        <f>+M436+N436+O436+P436+Q436+R436+S436+T436</f>
        <v>8111111</v>
      </c>
      <c r="E436" s="679">
        <v>0</v>
      </c>
      <c r="F436" s="679">
        <v>0</v>
      </c>
      <c r="G436" s="679">
        <v>0</v>
      </c>
      <c r="H436" s="679">
        <v>0</v>
      </c>
      <c r="I436" s="679">
        <v>0</v>
      </c>
      <c r="J436" s="679">
        <v>0</v>
      </c>
      <c r="K436" s="679">
        <v>0</v>
      </c>
      <c r="L436" s="679">
        <v>0</v>
      </c>
      <c r="M436" s="679">
        <v>0</v>
      </c>
      <c r="N436" s="679">
        <v>0</v>
      </c>
      <c r="O436" s="679">
        <f>+O518+O526</f>
        <v>8111111</v>
      </c>
      <c r="P436" s="679">
        <v>0</v>
      </c>
      <c r="Q436" s="679">
        <v>0</v>
      </c>
      <c r="R436" s="679">
        <v>0</v>
      </c>
      <c r="S436" s="679">
        <v>0</v>
      </c>
      <c r="T436" s="679">
        <v>0</v>
      </c>
      <c r="U436" s="679">
        <v>0</v>
      </c>
      <c r="V436" s="679">
        <v>0</v>
      </c>
      <c r="W436" s="679">
        <v>0</v>
      </c>
      <c r="X436" s="416">
        <f>SUM(P436:T436)</f>
        <v>0</v>
      </c>
      <c r="Y436" s="4089"/>
      <c r="Z436" s="1056"/>
    </row>
    <row r="437" spans="1:26" ht="11.25" customHeight="1">
      <c r="A437" s="4088"/>
      <c r="B437" s="677" t="s">
        <v>27</v>
      </c>
      <c r="C437" s="678"/>
      <c r="D437" s="679">
        <f t="shared" ref="D437:W437" si="529">+D457+D477+D489+D505</f>
        <v>13695285</v>
      </c>
      <c r="E437" s="679">
        <f t="shared" si="529"/>
        <v>279786</v>
      </c>
      <c r="F437" s="679">
        <f t="shared" si="529"/>
        <v>0</v>
      </c>
      <c r="G437" s="679">
        <f t="shared" si="529"/>
        <v>0</v>
      </c>
      <c r="H437" s="679">
        <f t="shared" si="529"/>
        <v>279786</v>
      </c>
      <c r="I437" s="679">
        <f t="shared" si="529"/>
        <v>2494494</v>
      </c>
      <c r="J437" s="679">
        <f t="shared" si="529"/>
        <v>0</v>
      </c>
      <c r="K437" s="679">
        <f t="shared" si="529"/>
        <v>662825</v>
      </c>
      <c r="L437" s="679">
        <f t="shared" si="529"/>
        <v>3189752</v>
      </c>
      <c r="M437" s="679">
        <f t="shared" si="529"/>
        <v>10215558</v>
      </c>
      <c r="N437" s="679">
        <f t="shared" si="529"/>
        <v>3588701</v>
      </c>
      <c r="O437" s="679">
        <f t="shared" si="529"/>
        <v>2081313</v>
      </c>
      <c r="P437" s="679">
        <f t="shared" si="529"/>
        <v>1398414</v>
      </c>
      <c r="Q437" s="679">
        <f t="shared" si="529"/>
        <v>0</v>
      </c>
      <c r="R437" s="679">
        <f t="shared" si="529"/>
        <v>0</v>
      </c>
      <c r="S437" s="679">
        <f t="shared" si="529"/>
        <v>0</v>
      </c>
      <c r="T437" s="679">
        <f t="shared" si="529"/>
        <v>0</v>
      </c>
      <c r="U437" s="679">
        <f t="shared" si="529"/>
        <v>0</v>
      </c>
      <c r="V437" s="679">
        <f t="shared" si="529"/>
        <v>0</v>
      </c>
      <c r="W437" s="679">
        <f t="shared" si="529"/>
        <v>0</v>
      </c>
      <c r="X437" s="416">
        <f>SUM(P437:T437)</f>
        <v>1398414</v>
      </c>
      <c r="Y437" s="4089"/>
      <c r="Z437" s="1056"/>
    </row>
    <row r="438" spans="1:26" ht="13.5" hidden="1" customHeight="1">
      <c r="A438" s="4088"/>
      <c r="B438" s="677" t="s">
        <v>127</v>
      </c>
      <c r="C438" s="678"/>
      <c r="D438" s="679"/>
      <c r="E438" s="679">
        <v>0</v>
      </c>
      <c r="F438" s="679">
        <v>0</v>
      </c>
      <c r="G438" s="679">
        <v>0</v>
      </c>
      <c r="H438" s="679">
        <v>0</v>
      </c>
      <c r="I438" s="679">
        <v>0</v>
      </c>
      <c r="J438" s="679">
        <v>0</v>
      </c>
      <c r="K438" s="679">
        <v>0</v>
      </c>
      <c r="L438" s="679">
        <v>0</v>
      </c>
      <c r="M438" s="679">
        <v>0</v>
      </c>
      <c r="N438" s="679">
        <v>0</v>
      </c>
      <c r="O438" s="679">
        <v>0</v>
      </c>
      <c r="P438" s="679">
        <v>0</v>
      </c>
      <c r="Q438" s="679">
        <v>0</v>
      </c>
      <c r="R438" s="679"/>
      <c r="S438" s="679"/>
      <c r="T438" s="679"/>
      <c r="U438" s="1557"/>
      <c r="V438" s="1557"/>
      <c r="W438" s="1557"/>
      <c r="X438" s="1520"/>
      <c r="Y438" s="4089"/>
      <c r="Z438" s="1056"/>
    </row>
    <row r="439" spans="1:26" ht="13.5" customHeight="1">
      <c r="A439" s="4088"/>
      <c r="B439" s="680" t="s">
        <v>34</v>
      </c>
      <c r="C439" s="669"/>
      <c r="D439" s="670">
        <f>+D440</f>
        <v>63899929</v>
      </c>
      <c r="E439" s="670">
        <f t="shared" ref="E439:W439" si="530">+E440</f>
        <v>279786</v>
      </c>
      <c r="F439" s="670">
        <f t="shared" si="530"/>
        <v>0</v>
      </c>
      <c r="G439" s="670">
        <f t="shared" si="530"/>
        <v>0</v>
      </c>
      <c r="H439" s="670">
        <f t="shared" si="530"/>
        <v>279786</v>
      </c>
      <c r="I439" s="670">
        <f t="shared" si="530"/>
        <v>2494494</v>
      </c>
      <c r="J439" s="670">
        <f t="shared" si="530"/>
        <v>0</v>
      </c>
      <c r="K439" s="670">
        <f t="shared" si="530"/>
        <v>662825</v>
      </c>
      <c r="L439" s="670">
        <f t="shared" si="530"/>
        <v>3759752</v>
      </c>
      <c r="M439" s="670">
        <f>+M440</f>
        <v>10215558</v>
      </c>
      <c r="N439" s="670">
        <f t="shared" si="530"/>
        <v>3588701</v>
      </c>
      <c r="O439" s="670">
        <f t="shared" si="530"/>
        <v>20785957</v>
      </c>
      <c r="P439" s="670">
        <f t="shared" si="530"/>
        <v>11898414</v>
      </c>
      <c r="Q439" s="670">
        <f t="shared" si="530"/>
        <v>10500000</v>
      </c>
      <c r="R439" s="670">
        <f t="shared" si="530"/>
        <v>10500000</v>
      </c>
      <c r="S439" s="670">
        <f t="shared" si="530"/>
        <v>0</v>
      </c>
      <c r="T439" s="670">
        <f t="shared" si="530"/>
        <v>0</v>
      </c>
      <c r="U439" s="670">
        <f t="shared" si="530"/>
        <v>0</v>
      </c>
      <c r="V439" s="670">
        <f t="shared" si="530"/>
        <v>0</v>
      </c>
      <c r="W439" s="670">
        <f t="shared" si="530"/>
        <v>0</v>
      </c>
      <c r="X439" s="4114" t="s">
        <v>35</v>
      </c>
      <c r="Y439" s="4089"/>
    </row>
    <row r="440" spans="1:26" ht="12" customHeight="1">
      <c r="A440" s="4088"/>
      <c r="B440" s="673" t="s">
        <v>36</v>
      </c>
      <c r="C440" s="681"/>
      <c r="D440" s="682">
        <f>+D441+D443+D442</f>
        <v>63899929</v>
      </c>
      <c r="E440" s="682">
        <f t="shared" ref="E440:W440" si="531">+E441+E443+E442</f>
        <v>279786</v>
      </c>
      <c r="F440" s="682">
        <f t="shared" si="531"/>
        <v>0</v>
      </c>
      <c r="G440" s="682">
        <f t="shared" si="531"/>
        <v>0</v>
      </c>
      <c r="H440" s="682">
        <f t="shared" si="531"/>
        <v>279786</v>
      </c>
      <c r="I440" s="682">
        <f t="shared" si="531"/>
        <v>2494494</v>
      </c>
      <c r="J440" s="682">
        <f t="shared" si="531"/>
        <v>0</v>
      </c>
      <c r="K440" s="682">
        <f t="shared" si="531"/>
        <v>662825</v>
      </c>
      <c r="L440" s="682">
        <f t="shared" si="531"/>
        <v>3759752</v>
      </c>
      <c r="M440" s="682">
        <f t="shared" si="531"/>
        <v>10215558</v>
      </c>
      <c r="N440" s="682">
        <f t="shared" si="531"/>
        <v>3588701</v>
      </c>
      <c r="O440" s="682">
        <f t="shared" si="531"/>
        <v>20785957</v>
      </c>
      <c r="P440" s="682">
        <f t="shared" si="531"/>
        <v>11898414</v>
      </c>
      <c r="Q440" s="682">
        <f t="shared" si="531"/>
        <v>10500000</v>
      </c>
      <c r="R440" s="682">
        <f t="shared" si="531"/>
        <v>10500000</v>
      </c>
      <c r="S440" s="682">
        <f t="shared" si="531"/>
        <v>0</v>
      </c>
      <c r="T440" s="682">
        <f t="shared" si="531"/>
        <v>0</v>
      </c>
      <c r="U440" s="682">
        <f t="shared" si="531"/>
        <v>0</v>
      </c>
      <c r="V440" s="682">
        <f t="shared" si="531"/>
        <v>0</v>
      </c>
      <c r="W440" s="682">
        <f t="shared" si="531"/>
        <v>0</v>
      </c>
      <c r="X440" s="4115"/>
      <c r="Y440" s="4089"/>
    </row>
    <row r="441" spans="1:26" ht="12" customHeight="1">
      <c r="A441" s="4088"/>
      <c r="B441" s="677" t="s">
        <v>390</v>
      </c>
      <c r="C441" s="683"/>
      <c r="D441" s="684">
        <f>+D508</f>
        <v>42093533</v>
      </c>
      <c r="E441" s="684">
        <v>0</v>
      </c>
      <c r="F441" s="684">
        <v>0</v>
      </c>
      <c r="G441" s="684">
        <v>0</v>
      </c>
      <c r="H441" s="684">
        <v>0</v>
      </c>
      <c r="I441" s="684">
        <v>0</v>
      </c>
      <c r="J441" s="684">
        <v>0</v>
      </c>
      <c r="K441" s="684">
        <v>0</v>
      </c>
      <c r="L441" s="684">
        <v>0</v>
      </c>
      <c r="M441" s="684">
        <v>0</v>
      </c>
      <c r="N441" s="684">
        <v>0</v>
      </c>
      <c r="O441" s="684">
        <f t="shared" ref="O441:R441" si="532">+O508</f>
        <v>10593533</v>
      </c>
      <c r="P441" s="684">
        <f t="shared" si="532"/>
        <v>10500000</v>
      </c>
      <c r="Q441" s="684">
        <f t="shared" si="532"/>
        <v>10500000</v>
      </c>
      <c r="R441" s="684">
        <f t="shared" si="532"/>
        <v>10500000</v>
      </c>
      <c r="S441" s="684">
        <v>0</v>
      </c>
      <c r="T441" s="684">
        <v>0</v>
      </c>
      <c r="U441" s="684">
        <v>0</v>
      </c>
      <c r="V441" s="684">
        <v>0</v>
      </c>
      <c r="W441" s="684">
        <v>0</v>
      </c>
      <c r="X441" s="4115"/>
      <c r="Y441" s="4089"/>
    </row>
    <row r="442" spans="1:26" ht="12" customHeight="1">
      <c r="A442" s="1759"/>
      <c r="B442" s="677" t="s">
        <v>128</v>
      </c>
      <c r="C442" s="683"/>
      <c r="D442" s="684">
        <f>+M442+N442+O442+P442+Q442+R442+S442+T442</f>
        <v>8111111</v>
      </c>
      <c r="E442" s="684"/>
      <c r="F442" s="684"/>
      <c r="G442" s="684"/>
      <c r="H442" s="684"/>
      <c r="I442" s="684"/>
      <c r="J442" s="684"/>
      <c r="K442" s="684"/>
      <c r="L442" s="684"/>
      <c r="M442" s="684">
        <v>0</v>
      </c>
      <c r="N442" s="684">
        <v>0</v>
      </c>
      <c r="O442" s="684">
        <f>+O521+O529</f>
        <v>8111111</v>
      </c>
      <c r="P442" s="684">
        <f t="shared" ref="P442:W442" si="533">+P521+P529</f>
        <v>0</v>
      </c>
      <c r="Q442" s="684">
        <f t="shared" si="533"/>
        <v>0</v>
      </c>
      <c r="R442" s="684">
        <f t="shared" si="533"/>
        <v>0</v>
      </c>
      <c r="S442" s="684">
        <f t="shared" si="533"/>
        <v>0</v>
      </c>
      <c r="T442" s="684">
        <f t="shared" si="533"/>
        <v>0</v>
      </c>
      <c r="U442" s="684">
        <f t="shared" si="533"/>
        <v>0</v>
      </c>
      <c r="V442" s="684">
        <f t="shared" si="533"/>
        <v>0</v>
      </c>
      <c r="W442" s="684">
        <f t="shared" si="533"/>
        <v>0</v>
      </c>
      <c r="X442" s="4115"/>
      <c r="Y442" s="4089"/>
      <c r="Z442" s="1056">
        <f>D442-D436</f>
        <v>0</v>
      </c>
    </row>
    <row r="443" spans="1:26" ht="12" customHeight="1" thickBot="1">
      <c r="A443" s="1759"/>
      <c r="B443" s="677" t="s">
        <v>27</v>
      </c>
      <c r="C443" s="683"/>
      <c r="D443" s="684">
        <f t="shared" ref="D443:W443" si="534">+D460+D480+D492+D509</f>
        <v>13695285</v>
      </c>
      <c r="E443" s="684">
        <f t="shared" si="534"/>
        <v>279786</v>
      </c>
      <c r="F443" s="684">
        <f t="shared" si="534"/>
        <v>0</v>
      </c>
      <c r="G443" s="684">
        <f t="shared" si="534"/>
        <v>0</v>
      </c>
      <c r="H443" s="684">
        <f t="shared" si="534"/>
        <v>279786</v>
      </c>
      <c r="I443" s="684">
        <f t="shared" si="534"/>
        <v>2494494</v>
      </c>
      <c r="J443" s="684">
        <f t="shared" si="534"/>
        <v>0</v>
      </c>
      <c r="K443" s="684">
        <f t="shared" si="534"/>
        <v>662825</v>
      </c>
      <c r="L443" s="684">
        <f t="shared" si="534"/>
        <v>3759752</v>
      </c>
      <c r="M443" s="684">
        <f t="shared" si="534"/>
        <v>10215558</v>
      </c>
      <c r="N443" s="684">
        <f t="shared" si="534"/>
        <v>3588701</v>
      </c>
      <c r="O443" s="684">
        <f t="shared" si="534"/>
        <v>2081313</v>
      </c>
      <c r="P443" s="684">
        <f t="shared" si="534"/>
        <v>1398414</v>
      </c>
      <c r="Q443" s="684">
        <f t="shared" si="534"/>
        <v>0</v>
      </c>
      <c r="R443" s="684">
        <f t="shared" si="534"/>
        <v>0</v>
      </c>
      <c r="S443" s="684">
        <f t="shared" si="534"/>
        <v>0</v>
      </c>
      <c r="T443" s="684">
        <f t="shared" si="534"/>
        <v>0</v>
      </c>
      <c r="U443" s="684">
        <f t="shared" si="534"/>
        <v>0</v>
      </c>
      <c r="V443" s="684">
        <f t="shared" si="534"/>
        <v>0</v>
      </c>
      <c r="W443" s="684">
        <f t="shared" si="534"/>
        <v>0</v>
      </c>
      <c r="X443" s="4115"/>
      <c r="Y443" s="4089"/>
    </row>
    <row r="444" spans="1:26" ht="12" hidden="1" customHeight="1" thickBot="1">
      <c r="A444" s="1759"/>
      <c r="B444" s="677" t="s">
        <v>127</v>
      </c>
      <c r="C444" s="683"/>
      <c r="D444" s="684">
        <v>0</v>
      </c>
      <c r="E444" s="684">
        <v>0</v>
      </c>
      <c r="F444" s="684">
        <v>0</v>
      </c>
      <c r="G444" s="684">
        <v>0</v>
      </c>
      <c r="H444" s="684">
        <v>0</v>
      </c>
      <c r="I444" s="684">
        <v>0</v>
      </c>
      <c r="J444" s="684">
        <v>0</v>
      </c>
      <c r="K444" s="684">
        <v>0</v>
      </c>
      <c r="L444" s="684">
        <v>0</v>
      </c>
      <c r="M444" s="684"/>
      <c r="N444" s="684">
        <v>0</v>
      </c>
      <c r="O444" s="684">
        <v>0</v>
      </c>
      <c r="P444" s="684">
        <v>0</v>
      </c>
      <c r="Q444" s="684">
        <v>0</v>
      </c>
      <c r="R444" s="684">
        <v>0</v>
      </c>
      <c r="S444" s="1159"/>
      <c r="T444" s="1159"/>
      <c r="U444" s="1159"/>
      <c r="V444" s="1159"/>
      <c r="W444" s="1159"/>
      <c r="X444" s="4116"/>
      <c r="Y444" s="4090"/>
    </row>
    <row r="445" spans="1:26" ht="17.25" customHeight="1">
      <c r="A445" s="4091" t="s">
        <v>79</v>
      </c>
      <c r="B445" s="2310" t="s">
        <v>136</v>
      </c>
      <c r="C445" s="685" t="s">
        <v>131</v>
      </c>
      <c r="D445" s="1469"/>
      <c r="E445" s="1470"/>
      <c r="F445" s="1470"/>
      <c r="G445" s="1470"/>
      <c r="H445" s="1470"/>
      <c r="I445" s="1470"/>
      <c r="J445" s="1470"/>
      <c r="K445" s="1470"/>
      <c r="L445" s="1470"/>
      <c r="M445" s="1471"/>
      <c r="N445" s="1471"/>
      <c r="O445" s="1470"/>
      <c r="P445" s="1470"/>
      <c r="Q445" s="1470"/>
      <c r="R445" s="1470"/>
      <c r="S445" s="1472"/>
      <c r="T445" s="1472"/>
      <c r="U445" s="1472"/>
      <c r="V445" s="1472"/>
      <c r="W445" s="1472"/>
      <c r="X445" s="686"/>
      <c r="Y445" s="4092" t="s">
        <v>123</v>
      </c>
    </row>
    <row r="446" spans="1:26">
      <c r="A446" s="4071"/>
      <c r="B446" s="2311" t="s">
        <v>22</v>
      </c>
      <c r="C446" s="669"/>
      <c r="D446" s="2271">
        <f>+D447</f>
        <v>42425218</v>
      </c>
      <c r="E446" s="586">
        <f>+E447</f>
        <v>0</v>
      </c>
      <c r="F446" s="586">
        <f t="shared" ref="F446:R446" si="535">+F447</f>
        <v>0</v>
      </c>
      <c r="G446" s="586">
        <f t="shared" si="535"/>
        <v>0</v>
      </c>
      <c r="H446" s="586">
        <f t="shared" si="535"/>
        <v>0</v>
      </c>
      <c r="I446" s="586">
        <f t="shared" si="535"/>
        <v>0</v>
      </c>
      <c r="J446" s="586">
        <f t="shared" si="535"/>
        <v>0</v>
      </c>
      <c r="K446" s="586">
        <f>SUM(K448:K448)</f>
        <v>0</v>
      </c>
      <c r="L446" s="586">
        <f t="shared" si="535"/>
        <v>0</v>
      </c>
      <c r="M446" s="1436">
        <f t="shared" si="535"/>
        <v>0</v>
      </c>
      <c r="N446" s="586">
        <f t="shared" si="535"/>
        <v>0</v>
      </c>
      <c r="O446" s="2271">
        <f t="shared" si="535"/>
        <v>2184218</v>
      </c>
      <c r="P446" s="586">
        <f t="shared" si="535"/>
        <v>8741000</v>
      </c>
      <c r="Q446" s="586">
        <f t="shared" si="535"/>
        <v>17500000</v>
      </c>
      <c r="R446" s="586">
        <f t="shared" si="535"/>
        <v>14000000</v>
      </c>
      <c r="S446" s="1476">
        <v>0</v>
      </c>
      <c r="T446" s="1476">
        <v>0</v>
      </c>
      <c r="U446" s="1476">
        <v>0</v>
      </c>
      <c r="V446" s="1476">
        <v>0</v>
      </c>
      <c r="W446" s="1476">
        <v>0</v>
      </c>
      <c r="X446" s="408">
        <f>+X447</f>
        <v>40241000</v>
      </c>
      <c r="Y446" s="4093"/>
      <c r="Z446" s="1229">
        <f>+O446+P446+Q446+R446</f>
        <v>42425218</v>
      </c>
    </row>
    <row r="447" spans="1:26" ht="11.25" customHeight="1">
      <c r="A447" s="4071"/>
      <c r="B447" s="2312" t="s">
        <v>36</v>
      </c>
      <c r="C447" s="4053" t="s">
        <v>119</v>
      </c>
      <c r="D447" s="2272">
        <f>D448</f>
        <v>42425218</v>
      </c>
      <c r="E447" s="587">
        <f t="shared" ref="E447:J447" si="536">E448</f>
        <v>0</v>
      </c>
      <c r="F447" s="587">
        <f t="shared" si="536"/>
        <v>0</v>
      </c>
      <c r="G447" s="587">
        <f t="shared" si="536"/>
        <v>0</v>
      </c>
      <c r="H447" s="587">
        <f t="shared" si="536"/>
        <v>0</v>
      </c>
      <c r="I447" s="587">
        <f t="shared" si="536"/>
        <v>0</v>
      </c>
      <c r="J447" s="587">
        <f t="shared" si="536"/>
        <v>0</v>
      </c>
      <c r="K447" s="589">
        <f>SUM(K448:K448)</f>
        <v>0</v>
      </c>
      <c r="L447" s="587">
        <f>SUM(L448:L448)</f>
        <v>0</v>
      </c>
      <c r="M447" s="1437">
        <f>SUM(M448:M448)</f>
        <v>0</v>
      </c>
      <c r="N447" s="587">
        <v>0</v>
      </c>
      <c r="O447" s="2272">
        <f>O448</f>
        <v>2184218</v>
      </c>
      <c r="P447" s="587">
        <f>P448</f>
        <v>8741000</v>
      </c>
      <c r="Q447" s="587">
        <f>Q448</f>
        <v>17500000</v>
      </c>
      <c r="R447" s="587">
        <f>R448</f>
        <v>14000000</v>
      </c>
      <c r="S447" s="1477">
        <v>0</v>
      </c>
      <c r="T447" s="1477">
        <v>0</v>
      </c>
      <c r="U447" s="1477">
        <v>0</v>
      </c>
      <c r="V447" s="1477">
        <v>0</v>
      </c>
      <c r="W447" s="1477">
        <v>0</v>
      </c>
      <c r="X447" s="591">
        <f>+X448</f>
        <v>40241000</v>
      </c>
      <c r="Y447" s="4093"/>
    </row>
    <row r="448" spans="1:26" ht="11.25" customHeight="1" thickBot="1">
      <c r="A448" s="4072"/>
      <c r="B448" s="2313" t="s">
        <v>24</v>
      </c>
      <c r="C448" s="4095"/>
      <c r="D448" s="2274">
        <f t="shared" ref="D448" si="537">M448+O448+P448+Q448+R448+S448+T448+U448+V448+W448</f>
        <v>42425218</v>
      </c>
      <c r="E448" s="1473"/>
      <c r="F448" s="1474"/>
      <c r="G448" s="1473"/>
      <c r="H448" s="1473"/>
      <c r="I448" s="1473"/>
      <c r="J448" s="1475">
        <v>0</v>
      </c>
      <c r="K448" s="1475"/>
      <c r="L448" s="797"/>
      <c r="M448" s="1658">
        <f>+E448+I448+J448+K448+L448+N448</f>
        <v>0</v>
      </c>
      <c r="N448" s="1473"/>
      <c r="O448" s="2314">
        <f>7380000-4740000-455500-282</f>
        <v>2184218</v>
      </c>
      <c r="P448" s="797">
        <f>17527500-7027500-1759000</f>
        <v>8741000</v>
      </c>
      <c r="Q448" s="797">
        <f>23370000-5870000</f>
        <v>17500000</v>
      </c>
      <c r="R448" s="797">
        <f>29212500-15212500</f>
        <v>14000000</v>
      </c>
      <c r="S448" s="1481">
        <v>0</v>
      </c>
      <c r="T448" s="1481">
        <v>0</v>
      </c>
      <c r="U448" s="1481">
        <v>0</v>
      </c>
      <c r="V448" s="1481">
        <v>0</v>
      </c>
      <c r="W448" s="1481">
        <v>0</v>
      </c>
      <c r="X448" s="416">
        <f>SUM(P448:T448)</f>
        <v>40241000</v>
      </c>
      <c r="Y448" s="4094"/>
      <c r="Z448" s="1056"/>
    </row>
    <row r="449" spans="1:141" ht="14.25" hidden="1" customHeight="1">
      <c r="A449" s="4071"/>
      <c r="B449" s="1225"/>
      <c r="C449" s="1135"/>
      <c r="D449" s="529"/>
      <c r="E449" s="530"/>
      <c r="F449" s="529"/>
      <c r="G449" s="530"/>
      <c r="H449" s="530"/>
      <c r="I449" s="531"/>
      <c r="J449" s="531"/>
      <c r="K449" s="531"/>
      <c r="L449" s="531"/>
      <c r="M449" s="1223"/>
      <c r="N449" s="1223"/>
      <c r="O449" s="1223"/>
      <c r="P449" s="1223"/>
      <c r="Q449" s="1223"/>
      <c r="R449" s="1223"/>
      <c r="S449" s="1223"/>
      <c r="T449" s="1223"/>
      <c r="U449" s="1223"/>
      <c r="V449" s="1223"/>
      <c r="W449" s="1223"/>
      <c r="X449" s="1224"/>
      <c r="Y449" s="4073"/>
    </row>
    <row r="450" spans="1:141" ht="13.5" hidden="1" customHeight="1">
      <c r="A450" s="4071"/>
      <c r="B450" s="668"/>
      <c r="C450" s="692"/>
      <c r="D450" s="968"/>
      <c r="E450" s="968"/>
      <c r="F450" s="968"/>
      <c r="G450" s="968"/>
      <c r="H450" s="968"/>
      <c r="I450" s="968"/>
      <c r="J450" s="968"/>
      <c r="K450" s="968"/>
      <c r="L450" s="968"/>
      <c r="M450" s="968"/>
      <c r="N450" s="968"/>
      <c r="O450" s="968"/>
      <c r="P450" s="968"/>
      <c r="Q450" s="968"/>
      <c r="R450" s="968"/>
      <c r="S450" s="1160"/>
      <c r="T450" s="1160"/>
      <c r="U450" s="1160"/>
      <c r="V450" s="1160"/>
      <c r="W450" s="1160"/>
      <c r="X450" s="1149"/>
      <c r="Y450" s="4074"/>
    </row>
    <row r="451" spans="1:141" ht="13.5" hidden="1" customHeight="1">
      <c r="A451" s="4071"/>
      <c r="B451" s="693"/>
      <c r="C451" s="4053"/>
      <c r="D451" s="508"/>
      <c r="E451" s="508"/>
      <c r="F451" s="508"/>
      <c r="G451" s="508"/>
      <c r="H451" s="508"/>
      <c r="I451" s="508"/>
      <c r="J451" s="508"/>
      <c r="K451" s="508"/>
      <c r="L451" s="508"/>
      <c r="M451" s="508"/>
      <c r="N451" s="508"/>
      <c r="O451" s="508"/>
      <c r="P451" s="508"/>
      <c r="Q451" s="508"/>
      <c r="R451" s="508"/>
      <c r="S451" s="1154"/>
      <c r="T451" s="1154"/>
      <c r="U451" s="1154"/>
      <c r="V451" s="1154"/>
      <c r="W451" s="1154"/>
      <c r="X451" s="1150"/>
      <c r="Y451" s="4074"/>
    </row>
    <row r="452" spans="1:141" ht="13.5" hidden="1" customHeight="1" thickBot="1">
      <c r="A452" s="4072"/>
      <c r="B452" s="694"/>
      <c r="C452" s="4076"/>
      <c r="D452" s="540"/>
      <c r="E452" s="498"/>
      <c r="F452" s="499"/>
      <c r="G452" s="498"/>
      <c r="H452" s="498"/>
      <c r="I452" s="498"/>
      <c r="J452" s="504"/>
      <c r="K452" s="504"/>
      <c r="L452" s="498"/>
      <c r="M452" s="499"/>
      <c r="N452" s="499"/>
      <c r="O452" s="499"/>
      <c r="P452" s="499"/>
      <c r="Q452" s="469"/>
      <c r="R452" s="469"/>
      <c r="S452" s="1161"/>
      <c r="T452" s="1161"/>
      <c r="U452" s="1161"/>
      <c r="V452" s="1161"/>
      <c r="W452" s="1161"/>
      <c r="X452" s="1151"/>
      <c r="Y452" s="4075"/>
      <c r="Z452" s="1056"/>
    </row>
    <row r="453" spans="1:141" ht="25.5" customHeight="1">
      <c r="A453" s="4077" t="s">
        <v>80</v>
      </c>
      <c r="B453" s="1664" t="s">
        <v>486</v>
      </c>
      <c r="C453" s="690" t="s">
        <v>98</v>
      </c>
      <c r="D453" s="579"/>
      <c r="E453" s="554"/>
      <c r="F453" s="554"/>
      <c r="G453" s="553"/>
      <c r="H453" s="553"/>
      <c r="I453" s="553"/>
      <c r="J453" s="553"/>
      <c r="K453" s="553"/>
      <c r="L453" s="553"/>
      <c r="M453" s="555"/>
      <c r="N453" s="555"/>
      <c r="O453" s="555"/>
      <c r="P453" s="555"/>
      <c r="Q453" s="555"/>
      <c r="R453" s="555"/>
      <c r="S453" s="555"/>
      <c r="T453" s="555"/>
      <c r="U453" s="555"/>
      <c r="V453" s="555"/>
      <c r="W453" s="555"/>
      <c r="X453" s="446"/>
      <c r="Y453" s="3900" t="s">
        <v>123</v>
      </c>
    </row>
    <row r="454" spans="1:141" ht="13.5" customHeight="1">
      <c r="A454" s="4078"/>
      <c r="B454" s="698" t="s">
        <v>22</v>
      </c>
      <c r="C454" s="669"/>
      <c r="D454" s="486">
        <f>+D455</f>
        <v>4617201</v>
      </c>
      <c r="E454" s="486">
        <f t="shared" ref="E454:X454" si="538">+E455</f>
        <v>419680</v>
      </c>
      <c r="F454" s="486">
        <f t="shared" si="538"/>
        <v>0</v>
      </c>
      <c r="G454" s="486">
        <f t="shared" si="538"/>
        <v>0</v>
      </c>
      <c r="H454" s="486">
        <f t="shared" si="538"/>
        <v>419680</v>
      </c>
      <c r="I454" s="486">
        <f t="shared" si="538"/>
        <v>3741741</v>
      </c>
      <c r="J454" s="486">
        <f t="shared" si="538"/>
        <v>0</v>
      </c>
      <c r="K454" s="486">
        <f t="shared" si="538"/>
        <v>105780</v>
      </c>
      <c r="L454" s="485">
        <f t="shared" si="538"/>
        <v>0</v>
      </c>
      <c r="M454" s="485">
        <f t="shared" si="538"/>
        <v>4267201</v>
      </c>
      <c r="N454" s="485">
        <f t="shared" si="538"/>
        <v>0</v>
      </c>
      <c r="O454" s="485">
        <f t="shared" si="538"/>
        <v>216788</v>
      </c>
      <c r="P454" s="485">
        <f t="shared" si="538"/>
        <v>133212</v>
      </c>
      <c r="Q454" s="1476">
        <v>0</v>
      </c>
      <c r="R454" s="1476">
        <v>0</v>
      </c>
      <c r="S454" s="1476">
        <v>0</v>
      </c>
      <c r="T454" s="1476">
        <v>0</v>
      </c>
      <c r="U454" s="1476">
        <v>0</v>
      </c>
      <c r="V454" s="1476">
        <v>0</v>
      </c>
      <c r="W454" s="1476">
        <v>0</v>
      </c>
      <c r="X454" s="487">
        <f t="shared" si="538"/>
        <v>133212</v>
      </c>
      <c r="Y454" s="4081"/>
      <c r="Z454" s="1229">
        <f>+O454+P454+Q454+R454</f>
        <v>350000</v>
      </c>
    </row>
    <row r="455" spans="1:141" ht="13.5" customHeight="1">
      <c r="A455" s="4078"/>
      <c r="B455" s="699" t="s">
        <v>36</v>
      </c>
      <c r="C455" s="4083" t="s">
        <v>133</v>
      </c>
      <c r="D455" s="1694">
        <f>+D456+D457</f>
        <v>4617201</v>
      </c>
      <c r="E455" s="1694">
        <f>+E456+E457</f>
        <v>419680</v>
      </c>
      <c r="F455" s="1694">
        <f t="shared" ref="F455:P455" si="539">+F456+F457</f>
        <v>0</v>
      </c>
      <c r="G455" s="1694">
        <f t="shared" si="539"/>
        <v>0</v>
      </c>
      <c r="H455" s="1694">
        <f t="shared" si="539"/>
        <v>419680</v>
      </c>
      <c r="I455" s="1694">
        <f t="shared" si="539"/>
        <v>3741741</v>
      </c>
      <c r="J455" s="1694">
        <f t="shared" si="539"/>
        <v>0</v>
      </c>
      <c r="K455" s="1694">
        <f t="shared" si="539"/>
        <v>105780</v>
      </c>
      <c r="L455" s="1695">
        <f t="shared" si="539"/>
        <v>0</v>
      </c>
      <c r="M455" s="1695">
        <f t="shared" ref="M455" si="540">+M456+M457</f>
        <v>4267201</v>
      </c>
      <c r="N455" s="1695">
        <f t="shared" si="539"/>
        <v>0</v>
      </c>
      <c r="O455" s="1695">
        <f t="shared" si="539"/>
        <v>216788</v>
      </c>
      <c r="P455" s="1695">
        <f t="shared" si="539"/>
        <v>133212</v>
      </c>
      <c r="Q455" s="1696">
        <v>0</v>
      </c>
      <c r="R455" s="1696">
        <v>0</v>
      </c>
      <c r="S455" s="1696">
        <v>0</v>
      </c>
      <c r="T455" s="1696">
        <v>0</v>
      </c>
      <c r="U455" s="1696">
        <v>0</v>
      </c>
      <c r="V455" s="1696">
        <v>0</v>
      </c>
      <c r="W455" s="1696">
        <v>0</v>
      </c>
      <c r="X455" s="1697">
        <f>+X456+X457</f>
        <v>133212</v>
      </c>
      <c r="Y455" s="4081"/>
    </row>
    <row r="456" spans="1:141" ht="13.5" customHeight="1">
      <c r="A456" s="4078"/>
      <c r="B456" s="1698" t="s">
        <v>24</v>
      </c>
      <c r="C456" s="4084"/>
      <c r="D456" s="1699">
        <f t="shared" ref="D456:D457" si="541">M456+O456+P456+Q456+R456+S456+T456+U456+V456+W456</f>
        <v>1772974</v>
      </c>
      <c r="E456" s="1700">
        <f>+F456+G456+H456</f>
        <v>139894</v>
      </c>
      <c r="F456" s="1700">
        <v>0</v>
      </c>
      <c r="G456" s="1700">
        <v>0</v>
      </c>
      <c r="H456" s="1700">
        <v>139894</v>
      </c>
      <c r="I456" s="1700">
        <v>1247247</v>
      </c>
      <c r="J456" s="1700">
        <v>0</v>
      </c>
      <c r="K456" s="1700">
        <v>35833</v>
      </c>
      <c r="L456" s="1701">
        <v>0</v>
      </c>
      <c r="M456" s="1702">
        <f>+E456+I456+J456+K456+L456+N456</f>
        <v>1422974</v>
      </c>
      <c r="N456" s="1700">
        <f>50000-50000</f>
        <v>0</v>
      </c>
      <c r="O456" s="1700">
        <f>300000+50000-133212</f>
        <v>216788</v>
      </c>
      <c r="P456" s="1700">
        <v>133212</v>
      </c>
      <c r="Q456" s="1703">
        <v>0</v>
      </c>
      <c r="R456" s="1703">
        <v>0</v>
      </c>
      <c r="S456" s="1703">
        <v>0</v>
      </c>
      <c r="T456" s="1703">
        <v>0</v>
      </c>
      <c r="U456" s="1703">
        <v>0</v>
      </c>
      <c r="V456" s="1703">
        <v>0</v>
      </c>
      <c r="W456" s="1703">
        <v>0</v>
      </c>
      <c r="X456" s="1704">
        <f>SUM(P456:T456)</f>
        <v>133212</v>
      </c>
      <c r="Y456" s="4081"/>
    </row>
    <row r="457" spans="1:141" ht="13.5" customHeight="1">
      <c r="A457" s="4078"/>
      <c r="B457" s="689" t="s">
        <v>137</v>
      </c>
      <c r="C457" s="4085"/>
      <c r="D457" s="1699">
        <f t="shared" si="541"/>
        <v>2844227</v>
      </c>
      <c r="E457" s="1700">
        <f>+F457+G457+H457</f>
        <v>279786</v>
      </c>
      <c r="F457" s="1700">
        <v>0</v>
      </c>
      <c r="G457" s="1700">
        <v>0</v>
      </c>
      <c r="H457" s="1700">
        <v>279786</v>
      </c>
      <c r="I457" s="1700">
        <v>2494494</v>
      </c>
      <c r="J457" s="1700">
        <v>0</v>
      </c>
      <c r="K457" s="1700">
        <v>69947</v>
      </c>
      <c r="L457" s="1705">
        <v>0</v>
      </c>
      <c r="M457" s="1702">
        <f>+E457+I457+J457+K457+L457+N457</f>
        <v>2844227</v>
      </c>
      <c r="N457" s="1705">
        <v>0</v>
      </c>
      <c r="O457" s="1706">
        <v>0</v>
      </c>
      <c r="P457" s="1707">
        <v>0</v>
      </c>
      <c r="Q457" s="1703">
        <v>0</v>
      </c>
      <c r="R457" s="1703">
        <v>0</v>
      </c>
      <c r="S457" s="1703">
        <v>0</v>
      </c>
      <c r="T457" s="1703">
        <v>0</v>
      </c>
      <c r="U457" s="1703">
        <v>0</v>
      </c>
      <c r="V457" s="1703">
        <v>0</v>
      </c>
      <c r="W457" s="1703">
        <v>0</v>
      </c>
      <c r="X457" s="1704">
        <f>SUM(P457:T457)</f>
        <v>0</v>
      </c>
      <c r="Y457" s="4081"/>
    </row>
    <row r="458" spans="1:141" s="1230" customFormat="1" ht="12.75" customHeight="1">
      <c r="A458" s="4079"/>
      <c r="B458" s="687" t="s">
        <v>34</v>
      </c>
      <c r="C458" s="669"/>
      <c r="D458" s="486">
        <f>+D459</f>
        <v>2844227</v>
      </c>
      <c r="E458" s="486">
        <f t="shared" ref="E458:P459" si="542">+E459</f>
        <v>279786</v>
      </c>
      <c r="F458" s="486">
        <f t="shared" si="542"/>
        <v>0</v>
      </c>
      <c r="G458" s="486">
        <f t="shared" si="542"/>
        <v>0</v>
      </c>
      <c r="H458" s="486">
        <f t="shared" si="542"/>
        <v>279786</v>
      </c>
      <c r="I458" s="486">
        <f t="shared" si="542"/>
        <v>2494494</v>
      </c>
      <c r="J458" s="486">
        <f t="shared" si="542"/>
        <v>0</v>
      </c>
      <c r="K458" s="486">
        <f t="shared" si="542"/>
        <v>69947</v>
      </c>
      <c r="L458" s="486">
        <f t="shared" si="542"/>
        <v>0</v>
      </c>
      <c r="M458" s="486">
        <f t="shared" si="542"/>
        <v>2844227</v>
      </c>
      <c r="N458" s="1708">
        <f t="shared" si="542"/>
        <v>0</v>
      </c>
      <c r="O458" s="1709">
        <f t="shared" si="542"/>
        <v>0</v>
      </c>
      <c r="P458" s="1709">
        <f t="shared" si="542"/>
        <v>0</v>
      </c>
      <c r="Q458" s="1476">
        <v>0</v>
      </c>
      <c r="R458" s="1476">
        <v>0</v>
      </c>
      <c r="S458" s="1476">
        <v>0</v>
      </c>
      <c r="T458" s="1476">
        <v>0</v>
      </c>
      <c r="U458" s="1476">
        <v>0</v>
      </c>
      <c r="V458" s="1476">
        <v>0</v>
      </c>
      <c r="W458" s="1476">
        <v>0</v>
      </c>
      <c r="X458" s="4086" t="s">
        <v>35</v>
      </c>
      <c r="Y458" s="4081"/>
    </row>
    <row r="459" spans="1:141" ht="13.5" customHeight="1">
      <c r="A459" s="4079"/>
      <c r="B459" s="700" t="s">
        <v>36</v>
      </c>
      <c r="C459" s="4083" t="s">
        <v>133</v>
      </c>
      <c r="D459" s="1695">
        <f>+D460</f>
        <v>2844227</v>
      </c>
      <c r="E459" s="1700">
        <f t="shared" si="542"/>
        <v>279786</v>
      </c>
      <c r="F459" s="1700">
        <f t="shared" si="542"/>
        <v>0</v>
      </c>
      <c r="G459" s="1700">
        <f t="shared" si="542"/>
        <v>0</v>
      </c>
      <c r="H459" s="1700">
        <f t="shared" si="542"/>
        <v>279786</v>
      </c>
      <c r="I459" s="1700">
        <f t="shared" si="542"/>
        <v>2494494</v>
      </c>
      <c r="J459" s="1700">
        <f t="shared" si="542"/>
        <v>0</v>
      </c>
      <c r="K459" s="1695">
        <f t="shared" si="542"/>
        <v>69947</v>
      </c>
      <c r="L459" s="1695">
        <f t="shared" si="542"/>
        <v>0</v>
      </c>
      <c r="M459" s="1695">
        <f t="shared" si="542"/>
        <v>2844227</v>
      </c>
      <c r="N459" s="1695">
        <f t="shared" si="542"/>
        <v>0</v>
      </c>
      <c r="O459" s="1710">
        <f t="shared" si="542"/>
        <v>0</v>
      </c>
      <c r="P459" s="1711">
        <f t="shared" si="542"/>
        <v>0</v>
      </c>
      <c r="Q459" s="1696">
        <v>0</v>
      </c>
      <c r="R459" s="1696">
        <v>0</v>
      </c>
      <c r="S459" s="1696">
        <v>0</v>
      </c>
      <c r="T459" s="1696">
        <v>0</v>
      </c>
      <c r="U459" s="1696">
        <v>0</v>
      </c>
      <c r="V459" s="1696">
        <v>0</v>
      </c>
      <c r="W459" s="1696">
        <v>0</v>
      </c>
      <c r="X459" s="4029"/>
      <c r="Y459" s="4081"/>
    </row>
    <row r="460" spans="1:141" ht="13.5" customHeight="1" thickBot="1">
      <c r="A460" s="4080"/>
      <c r="B460" s="701" t="s">
        <v>137</v>
      </c>
      <c r="C460" s="4076"/>
      <c r="D460" s="1652">
        <f t="shared" ref="D460" si="543">M460+O460+P460+Q460+R460+S460+T460+U460+V460+W460</f>
        <v>2844227</v>
      </c>
      <c r="E460" s="504">
        <f>+F460+G460+H460</f>
        <v>279786</v>
      </c>
      <c r="F460" s="504">
        <v>0</v>
      </c>
      <c r="G460" s="504">
        <v>0</v>
      </c>
      <c r="H460" s="504">
        <v>279786</v>
      </c>
      <c r="I460" s="504">
        <v>2494494</v>
      </c>
      <c r="J460" s="504">
        <v>0</v>
      </c>
      <c r="K460" s="504">
        <v>69947</v>
      </c>
      <c r="L460" s="498">
        <v>0</v>
      </c>
      <c r="M460" s="1652">
        <f>+E460+I460+J460+K460+L460+N460</f>
        <v>2844227</v>
      </c>
      <c r="N460" s="498">
        <v>0</v>
      </c>
      <c r="O460" s="1435">
        <v>0</v>
      </c>
      <c r="P460" s="1435">
        <v>0</v>
      </c>
      <c r="Q460" s="1683">
        <v>0</v>
      </c>
      <c r="R460" s="1683">
        <v>0</v>
      </c>
      <c r="S460" s="1683">
        <v>0</v>
      </c>
      <c r="T460" s="1683">
        <v>0</v>
      </c>
      <c r="U460" s="1683">
        <v>0</v>
      </c>
      <c r="V460" s="1683">
        <v>0</v>
      </c>
      <c r="W460" s="1683">
        <v>0</v>
      </c>
      <c r="X460" s="4030"/>
      <c r="Y460" s="4082"/>
    </row>
    <row r="461" spans="1:141" s="1774" customFormat="1" ht="14.25" customHeight="1">
      <c r="A461" s="4040" t="s">
        <v>81</v>
      </c>
      <c r="B461" s="2310" t="s">
        <v>138</v>
      </c>
      <c r="C461" s="2786" t="s">
        <v>98</v>
      </c>
      <c r="D461" s="2787"/>
      <c r="E461" s="2788"/>
      <c r="F461" s="2788"/>
      <c r="G461" s="2788"/>
      <c r="H461" s="2788"/>
      <c r="I461" s="2788"/>
      <c r="J461" s="2788"/>
      <c r="K461" s="2788"/>
      <c r="L461" s="2788"/>
      <c r="M461" s="2789"/>
      <c r="N461" s="2789"/>
      <c r="O461" s="2789"/>
      <c r="P461" s="2789"/>
      <c r="Q461" s="2789"/>
      <c r="R461" s="2789"/>
      <c r="S461" s="2789"/>
      <c r="T461" s="2789"/>
      <c r="U461" s="2789"/>
      <c r="V461" s="2789"/>
      <c r="W461" s="2789"/>
      <c r="X461" s="2396"/>
      <c r="Y461" s="4043" t="s">
        <v>104</v>
      </c>
      <c r="Z461" s="1233"/>
      <c r="AA461" s="1233"/>
      <c r="AB461" s="1233"/>
      <c r="AC461" s="1233"/>
      <c r="AD461" s="1233"/>
      <c r="AE461" s="1233"/>
      <c r="AF461" s="1233"/>
      <c r="AG461" s="1233"/>
      <c r="AH461" s="1233"/>
      <c r="AI461" s="1233"/>
      <c r="AJ461" s="1233"/>
      <c r="AK461" s="1233"/>
      <c r="AL461" s="1233"/>
      <c r="AM461" s="1233"/>
      <c r="AN461" s="1233"/>
      <c r="AO461" s="1233"/>
      <c r="AP461" s="1233"/>
      <c r="AQ461" s="1233"/>
      <c r="AR461" s="1233"/>
      <c r="AS461" s="1233"/>
      <c r="AT461" s="1233"/>
      <c r="AU461" s="1233"/>
      <c r="AV461" s="1233"/>
      <c r="AW461" s="1233"/>
      <c r="AX461" s="1233"/>
      <c r="AY461" s="1233"/>
      <c r="AZ461" s="1233"/>
      <c r="BA461" s="1233"/>
      <c r="BB461" s="1233"/>
      <c r="BC461" s="1233"/>
      <c r="BD461" s="1233"/>
      <c r="BE461" s="1233"/>
      <c r="BF461" s="1233"/>
      <c r="BG461" s="1233"/>
      <c r="BH461" s="1233"/>
      <c r="BI461" s="1233"/>
      <c r="BJ461" s="1233"/>
      <c r="BK461" s="1233"/>
      <c r="BL461" s="1233"/>
      <c r="BM461" s="1233"/>
      <c r="BN461" s="1233"/>
      <c r="BO461" s="1233"/>
      <c r="BP461" s="1233"/>
      <c r="BQ461" s="1233"/>
      <c r="BR461" s="1233"/>
      <c r="BS461" s="1233"/>
      <c r="BT461" s="1233"/>
      <c r="BU461" s="1233"/>
      <c r="BV461" s="1233"/>
      <c r="BW461" s="1233"/>
      <c r="BX461" s="1233"/>
      <c r="BY461" s="1233"/>
      <c r="BZ461" s="1233"/>
      <c r="CA461" s="1233"/>
      <c r="CB461" s="1233"/>
      <c r="CC461" s="1233"/>
      <c r="CD461" s="1233"/>
      <c r="CE461" s="1233"/>
      <c r="CF461" s="1233"/>
      <c r="CG461" s="1233"/>
      <c r="CH461" s="1233"/>
      <c r="CI461" s="1233"/>
      <c r="CJ461" s="1233"/>
      <c r="CK461" s="1233"/>
      <c r="CL461" s="1233"/>
      <c r="CM461" s="1233"/>
      <c r="CN461" s="1233"/>
      <c r="CO461" s="1233"/>
      <c r="CP461" s="1233"/>
      <c r="CQ461" s="1233"/>
      <c r="CR461" s="1233"/>
      <c r="CS461" s="1233"/>
      <c r="CT461" s="1233"/>
      <c r="CU461" s="1233"/>
      <c r="CV461" s="1233"/>
      <c r="CW461" s="1233"/>
      <c r="CX461" s="1233"/>
      <c r="CY461" s="1233"/>
      <c r="CZ461" s="1233"/>
      <c r="DA461" s="1233"/>
      <c r="DB461" s="1233"/>
      <c r="DC461" s="1233"/>
      <c r="DD461" s="1233"/>
      <c r="DE461" s="1233"/>
      <c r="DF461" s="1233"/>
      <c r="DG461" s="1233"/>
      <c r="DH461" s="1233"/>
      <c r="DI461" s="1233"/>
      <c r="DJ461" s="1233"/>
      <c r="DK461" s="1233"/>
      <c r="DL461" s="1233"/>
      <c r="DM461" s="1233"/>
      <c r="DN461" s="1233"/>
      <c r="DO461" s="1233"/>
      <c r="DP461" s="1233"/>
      <c r="DQ461" s="1233"/>
      <c r="DR461" s="1233"/>
      <c r="DS461" s="1233"/>
      <c r="DT461" s="1233"/>
      <c r="DU461" s="1233"/>
      <c r="DV461" s="1233"/>
      <c r="DW461" s="1233"/>
      <c r="DX461" s="1233"/>
      <c r="DY461" s="1233"/>
      <c r="DZ461" s="1233"/>
      <c r="EA461" s="1233"/>
      <c r="EB461" s="1233"/>
      <c r="EC461" s="1233"/>
      <c r="ED461" s="1233"/>
      <c r="EE461" s="1233"/>
      <c r="EF461" s="1233"/>
      <c r="EG461" s="1233"/>
      <c r="EH461" s="1233"/>
      <c r="EI461" s="1233"/>
      <c r="EJ461" s="1233"/>
      <c r="EK461" s="1233"/>
    </row>
    <row r="462" spans="1:141" s="1233" customFormat="1" ht="12.75" customHeight="1">
      <c r="A462" s="4041"/>
      <c r="B462" s="2311" t="s">
        <v>22</v>
      </c>
      <c r="C462" s="2397"/>
      <c r="D462" s="2398">
        <f>+D463</f>
        <v>5912081</v>
      </c>
      <c r="E462" s="2307"/>
      <c r="F462" s="2307"/>
      <c r="G462" s="2307"/>
      <c r="H462" s="2307"/>
      <c r="I462" s="2307"/>
      <c r="J462" s="2307">
        <f>+J463</f>
        <v>901733</v>
      </c>
      <c r="K462" s="2307">
        <f t="shared" ref="K462:R463" si="544">+K463</f>
        <v>415162</v>
      </c>
      <c r="L462" s="2307">
        <f t="shared" si="544"/>
        <v>438710</v>
      </c>
      <c r="M462" s="2307">
        <f t="shared" si="544"/>
        <v>2038782</v>
      </c>
      <c r="N462" s="2307">
        <f t="shared" si="544"/>
        <v>283177</v>
      </c>
      <c r="O462" s="2307">
        <f t="shared" si="544"/>
        <v>179607</v>
      </c>
      <c r="P462" s="2307">
        <f t="shared" si="544"/>
        <v>1847492</v>
      </c>
      <c r="Q462" s="2307">
        <f t="shared" si="544"/>
        <v>725000</v>
      </c>
      <c r="R462" s="2307">
        <f t="shared" si="544"/>
        <v>1121200</v>
      </c>
      <c r="S462" s="2790">
        <v>0</v>
      </c>
      <c r="T462" s="2790">
        <v>0</v>
      </c>
      <c r="U462" s="2790">
        <v>0</v>
      </c>
      <c r="V462" s="2790">
        <v>0</v>
      </c>
      <c r="W462" s="2790">
        <v>0</v>
      </c>
      <c r="X462" s="1798">
        <f>+X463</f>
        <v>3693692</v>
      </c>
      <c r="Y462" s="4044"/>
      <c r="Z462" s="1229">
        <f>+O462+P462+Q462+R462</f>
        <v>3873299</v>
      </c>
    </row>
    <row r="463" spans="1:141" s="1233" customFormat="1" ht="14.25" customHeight="1">
      <c r="A463" s="4041"/>
      <c r="B463" s="2791" t="s">
        <v>36</v>
      </c>
      <c r="C463" s="4055" t="s">
        <v>101</v>
      </c>
      <c r="D463" s="2400">
        <f>+D464</f>
        <v>5912081</v>
      </c>
      <c r="E463" s="2308"/>
      <c r="F463" s="2308"/>
      <c r="G463" s="2308"/>
      <c r="H463" s="2308"/>
      <c r="I463" s="2308"/>
      <c r="J463" s="2308">
        <f>+J464</f>
        <v>901733</v>
      </c>
      <c r="K463" s="2308">
        <f t="shared" si="544"/>
        <v>415162</v>
      </c>
      <c r="L463" s="2308">
        <f t="shared" si="544"/>
        <v>438710</v>
      </c>
      <c r="M463" s="2308">
        <f t="shared" si="544"/>
        <v>2038782</v>
      </c>
      <c r="N463" s="2308">
        <f t="shared" si="544"/>
        <v>283177</v>
      </c>
      <c r="O463" s="2308">
        <f t="shared" si="544"/>
        <v>179607</v>
      </c>
      <c r="P463" s="2308">
        <f t="shared" si="544"/>
        <v>1847492</v>
      </c>
      <c r="Q463" s="2308">
        <f t="shared" si="544"/>
        <v>725000</v>
      </c>
      <c r="R463" s="2308">
        <f t="shared" si="544"/>
        <v>1121200</v>
      </c>
      <c r="S463" s="2792">
        <v>0</v>
      </c>
      <c r="T463" s="2792">
        <v>0</v>
      </c>
      <c r="U463" s="2792">
        <v>0</v>
      </c>
      <c r="V463" s="2792">
        <v>0</v>
      </c>
      <c r="W463" s="2792">
        <v>0</v>
      </c>
      <c r="X463" s="1815">
        <f>+X464</f>
        <v>3693692</v>
      </c>
      <c r="Y463" s="4044"/>
    </row>
    <row r="464" spans="1:141" s="1233" customFormat="1" ht="13.5" customHeight="1" thickBot="1">
      <c r="A464" s="4042"/>
      <c r="B464" s="2793" t="s">
        <v>24</v>
      </c>
      <c r="C464" s="4063"/>
      <c r="D464" s="1958">
        <f t="shared" ref="D464" si="545">M464+O464+P464+Q464+R464+S464+T464+U464+V464+W464</f>
        <v>5912081</v>
      </c>
      <c r="E464" s="1825"/>
      <c r="F464" s="1825"/>
      <c r="G464" s="1825"/>
      <c r="H464" s="1825"/>
      <c r="I464" s="1825"/>
      <c r="J464" s="2794">
        <v>901733</v>
      </c>
      <c r="K464" s="1784">
        <v>415162</v>
      </c>
      <c r="L464" s="1825">
        <v>438710</v>
      </c>
      <c r="M464" s="1961">
        <f>+E464+I464+J464+K464+L464+N464</f>
        <v>2038782</v>
      </c>
      <c r="N464" s="1825">
        <f>559146-55736-156764-63469</f>
        <v>283177</v>
      </c>
      <c r="O464" s="1825">
        <f>1368555-500000-428903-11000-249045</f>
        <v>179607</v>
      </c>
      <c r="P464" s="1825">
        <f>3469876-2050000+555736+68465+63469-260054</f>
        <v>1847492</v>
      </c>
      <c r="Q464" s="1825">
        <f>1925000+100000-1300000</f>
        <v>725000</v>
      </c>
      <c r="R464" s="1825">
        <f>1971200-850000</f>
        <v>1121200</v>
      </c>
      <c r="S464" s="2795">
        <v>0</v>
      </c>
      <c r="T464" s="2795">
        <v>0</v>
      </c>
      <c r="U464" s="2795">
        <v>0</v>
      </c>
      <c r="V464" s="2795">
        <v>0</v>
      </c>
      <c r="W464" s="2795">
        <v>0</v>
      </c>
      <c r="X464" s="1963">
        <f>SUM(P464:T464)</f>
        <v>3693692</v>
      </c>
      <c r="Y464" s="4045"/>
      <c r="Z464" s="1775"/>
    </row>
    <row r="465" spans="1:26" ht="23.25" customHeight="1">
      <c r="A465" s="4064" t="s">
        <v>82</v>
      </c>
      <c r="B465" s="2390" t="s">
        <v>385</v>
      </c>
      <c r="C465" s="2391" t="s">
        <v>98</v>
      </c>
      <c r="D465" s="2392"/>
      <c r="E465" s="2393"/>
      <c r="F465" s="2394"/>
      <c r="G465" s="2393"/>
      <c r="H465" s="2393"/>
      <c r="I465" s="2393"/>
      <c r="J465" s="2393"/>
      <c r="K465" s="2393"/>
      <c r="L465" s="2393"/>
      <c r="M465" s="2395"/>
      <c r="N465" s="2395"/>
      <c r="O465" s="2395"/>
      <c r="P465" s="2395"/>
      <c r="Q465" s="2395"/>
      <c r="R465" s="2395"/>
      <c r="S465" s="2395"/>
      <c r="T465" s="2395"/>
      <c r="U465" s="2395"/>
      <c r="V465" s="2395"/>
      <c r="W465" s="2395"/>
      <c r="X465" s="2396"/>
      <c r="Y465" s="4067" t="s">
        <v>408</v>
      </c>
    </row>
    <row r="466" spans="1:26">
      <c r="A466" s="4065"/>
      <c r="B466" s="2311" t="s">
        <v>22</v>
      </c>
      <c r="C466" s="2397"/>
      <c r="D466" s="2398">
        <f>+D467</f>
        <v>45603289</v>
      </c>
      <c r="E466" s="2271">
        <f>+E467</f>
        <v>7100000</v>
      </c>
      <c r="F466" s="2271">
        <f t="shared" ref="F466:X467" si="546">+F467</f>
        <v>0</v>
      </c>
      <c r="G466" s="2271">
        <f t="shared" si="546"/>
        <v>5300000</v>
      </c>
      <c r="H466" s="2271">
        <f t="shared" si="546"/>
        <v>1800000</v>
      </c>
      <c r="I466" s="2271">
        <f t="shared" si="546"/>
        <v>0</v>
      </c>
      <c r="J466" s="2271">
        <f t="shared" si="546"/>
        <v>1800000</v>
      </c>
      <c r="K466" s="2271">
        <f t="shared" si="546"/>
        <v>3301289</v>
      </c>
      <c r="L466" s="2271">
        <f t="shared" si="546"/>
        <v>4200000</v>
      </c>
      <c r="M466" s="2271">
        <f t="shared" si="546"/>
        <v>21401289</v>
      </c>
      <c r="N466" s="2271">
        <f t="shared" si="546"/>
        <v>5000000</v>
      </c>
      <c r="O466" s="2271">
        <f t="shared" si="546"/>
        <v>5000000</v>
      </c>
      <c r="P466" s="2271">
        <f t="shared" si="546"/>
        <v>5002000</v>
      </c>
      <c r="Q466" s="2271">
        <f t="shared" si="546"/>
        <v>5000000</v>
      </c>
      <c r="R466" s="2271">
        <f t="shared" si="546"/>
        <v>5000000</v>
      </c>
      <c r="S466" s="2271">
        <f t="shared" si="546"/>
        <v>2700000</v>
      </c>
      <c r="T466" s="2271">
        <f t="shared" si="546"/>
        <v>1500000</v>
      </c>
      <c r="U466" s="2271"/>
      <c r="V466" s="2271"/>
      <c r="W466" s="2271"/>
      <c r="X466" s="2399">
        <f t="shared" si="546"/>
        <v>19202000</v>
      </c>
      <c r="Y466" s="4068"/>
      <c r="Z466" s="1229">
        <f>+O466+P466+Q466+R466+4200000</f>
        <v>24202000</v>
      </c>
    </row>
    <row r="467" spans="1:26">
      <c r="A467" s="4065"/>
      <c r="B467" s="2312" t="s">
        <v>36</v>
      </c>
      <c r="C467" s="4055" t="s">
        <v>133</v>
      </c>
      <c r="D467" s="2400">
        <f>+D468</f>
        <v>45603289</v>
      </c>
      <c r="E467" s="2401">
        <f>+E468</f>
        <v>7100000</v>
      </c>
      <c r="F467" s="2401">
        <f t="shared" si="546"/>
        <v>0</v>
      </c>
      <c r="G467" s="2401">
        <f t="shared" si="546"/>
        <v>5300000</v>
      </c>
      <c r="H467" s="2401">
        <f t="shared" si="546"/>
        <v>1800000</v>
      </c>
      <c r="I467" s="2401">
        <f t="shared" si="546"/>
        <v>0</v>
      </c>
      <c r="J467" s="2401">
        <f t="shared" si="546"/>
        <v>1800000</v>
      </c>
      <c r="K467" s="2272">
        <f t="shared" si="546"/>
        <v>3301289</v>
      </c>
      <c r="L467" s="2272">
        <f t="shared" si="546"/>
        <v>4200000</v>
      </c>
      <c r="M467" s="2272">
        <f t="shared" si="546"/>
        <v>21401289</v>
      </c>
      <c r="N467" s="2272">
        <f t="shared" si="546"/>
        <v>5000000</v>
      </c>
      <c r="O467" s="2272">
        <f t="shared" si="546"/>
        <v>5000000</v>
      </c>
      <c r="P467" s="2272">
        <f t="shared" si="546"/>
        <v>5002000</v>
      </c>
      <c r="Q467" s="2272">
        <f t="shared" si="546"/>
        <v>5000000</v>
      </c>
      <c r="R467" s="2272">
        <f t="shared" si="546"/>
        <v>5000000</v>
      </c>
      <c r="S467" s="2272">
        <f t="shared" si="546"/>
        <v>2700000</v>
      </c>
      <c r="T467" s="2272">
        <f t="shared" si="546"/>
        <v>1500000</v>
      </c>
      <c r="U467" s="2402"/>
      <c r="V467" s="2402"/>
      <c r="W467" s="2402"/>
      <c r="X467" s="2403">
        <f>+X468</f>
        <v>19202000</v>
      </c>
      <c r="Y467" s="4068"/>
    </row>
    <row r="468" spans="1:26" ht="13.5" thickBot="1">
      <c r="A468" s="4066"/>
      <c r="B468" s="2404" t="s">
        <v>24</v>
      </c>
      <c r="C468" s="4070"/>
      <c r="D468" s="1958">
        <f t="shared" ref="D468" si="547">M468+O468+P468+Q468+R468+S468+T468+U468+V468+W468</f>
        <v>45603289</v>
      </c>
      <c r="E468" s="1825">
        <f>+F468+G468+H468</f>
        <v>7100000</v>
      </c>
      <c r="F468" s="2405">
        <v>0</v>
      </c>
      <c r="G468" s="1829">
        <v>5300000</v>
      </c>
      <c r="H468" s="2314">
        <v>1800000</v>
      </c>
      <c r="I468" s="2314">
        <v>0</v>
      </c>
      <c r="J468" s="1829">
        <v>1800000</v>
      </c>
      <c r="K468" s="2314">
        <f>1502000+1800000-711</f>
        <v>3301289</v>
      </c>
      <c r="L468" s="2314">
        <f>1502000+2700000-2000</f>
        <v>4200000</v>
      </c>
      <c r="M468" s="1961">
        <f>+E468+I468+J468+K468+L468+N468</f>
        <v>21401289</v>
      </c>
      <c r="N468" s="2406">
        <f>5002000-2000</f>
        <v>5000000</v>
      </c>
      <c r="O468" s="2406">
        <f>5002000-2000</f>
        <v>5000000</v>
      </c>
      <c r="P468" s="2406">
        <v>5002000</v>
      </c>
      <c r="Q468" s="2406">
        <v>5000000</v>
      </c>
      <c r="R468" s="2406">
        <v>5000000</v>
      </c>
      <c r="S468" s="2406">
        <v>2700000</v>
      </c>
      <c r="T468" s="2406">
        <v>1500000</v>
      </c>
      <c r="U468" s="2407"/>
      <c r="V468" s="2407"/>
      <c r="W468" s="2407"/>
      <c r="X468" s="1963">
        <f>SUM(P468:T468)</f>
        <v>19202000</v>
      </c>
      <c r="Y468" s="4069"/>
      <c r="Z468" s="1056"/>
    </row>
    <row r="469" spans="1:26" ht="24" hidden="1" customHeight="1">
      <c r="A469" s="4031" t="s">
        <v>83</v>
      </c>
      <c r="B469" s="704" t="s">
        <v>139</v>
      </c>
      <c r="C469" s="690" t="s">
        <v>98</v>
      </c>
      <c r="D469" s="705"/>
      <c r="E469" s="691"/>
      <c r="F469" s="706"/>
      <c r="G469" s="706"/>
      <c r="H469" s="691"/>
      <c r="I469" s="691"/>
      <c r="J469" s="691"/>
      <c r="K469" s="691"/>
      <c r="L469" s="691"/>
      <c r="M469" s="707"/>
      <c r="N469" s="707"/>
      <c r="O469" s="707"/>
      <c r="P469" s="707"/>
      <c r="Q469" s="707"/>
      <c r="R469" s="707"/>
      <c r="S469" s="707"/>
      <c r="T469" s="707"/>
      <c r="U469" s="707"/>
      <c r="V469" s="707"/>
      <c r="W469" s="707"/>
      <c r="X469" s="686"/>
      <c r="Y469" s="4034" t="s">
        <v>104</v>
      </c>
    </row>
    <row r="470" spans="1:26" ht="12" hidden="1" customHeight="1">
      <c r="A470" s="4032"/>
      <c r="B470" s="687" t="s">
        <v>22</v>
      </c>
      <c r="C470" s="669"/>
      <c r="D470" s="702"/>
      <c r="E470" s="702"/>
      <c r="F470" s="702"/>
      <c r="G470" s="702"/>
      <c r="H470" s="702"/>
      <c r="I470" s="702"/>
      <c r="J470" s="702"/>
      <c r="K470" s="702"/>
      <c r="L470" s="702"/>
      <c r="M470" s="702"/>
      <c r="N470" s="702"/>
      <c r="O470" s="702"/>
      <c r="P470" s="702"/>
      <c r="Q470" s="702"/>
      <c r="R470" s="702"/>
      <c r="S470" s="702"/>
      <c r="T470" s="702"/>
      <c r="U470" s="1558"/>
      <c r="V470" s="1558"/>
      <c r="W470" s="1558"/>
      <c r="X470" s="1521"/>
      <c r="Y470" s="4035"/>
    </row>
    <row r="471" spans="1:26" ht="11.25" hidden="1" customHeight="1">
      <c r="A471" s="4032"/>
      <c r="B471" s="688" t="s">
        <v>36</v>
      </c>
      <c r="C471" s="4053" t="s">
        <v>101</v>
      </c>
      <c r="D471" s="703"/>
      <c r="E471" s="703"/>
      <c r="F471" s="703"/>
      <c r="G471" s="703"/>
      <c r="H471" s="703"/>
      <c r="I471" s="703"/>
      <c r="J471" s="703"/>
      <c r="K471" s="703"/>
      <c r="L471" s="703"/>
      <c r="M471" s="703"/>
      <c r="N471" s="703"/>
      <c r="O471" s="703"/>
      <c r="P471" s="703"/>
      <c r="Q471" s="703"/>
      <c r="R471" s="703"/>
      <c r="S471" s="703"/>
      <c r="T471" s="703"/>
      <c r="U471" s="1559"/>
      <c r="V471" s="1559"/>
      <c r="W471" s="1559"/>
      <c r="X471" s="1519"/>
      <c r="Y471" s="4035"/>
    </row>
    <row r="472" spans="1:26" ht="13.5" hidden="1" thickBot="1">
      <c r="A472" s="4033"/>
      <c r="B472" s="708" t="s">
        <v>24</v>
      </c>
      <c r="C472" s="4054"/>
      <c r="D472" s="695"/>
      <c r="E472" s="696"/>
      <c r="F472" s="709"/>
      <c r="G472" s="709"/>
      <c r="H472" s="709"/>
      <c r="I472" s="710"/>
      <c r="J472" s="710"/>
      <c r="K472" s="710"/>
      <c r="L472" s="709"/>
      <c r="M472" s="709"/>
      <c r="N472" s="709"/>
      <c r="O472" s="709"/>
      <c r="P472" s="709"/>
      <c r="Q472" s="709"/>
      <c r="R472" s="709"/>
      <c r="S472" s="709"/>
      <c r="T472" s="709"/>
      <c r="U472" s="1560"/>
      <c r="V472" s="1560"/>
      <c r="W472" s="1560"/>
      <c r="X472" s="1522"/>
      <c r="Y472" s="4036"/>
    </row>
    <row r="473" spans="1:26" ht="14.25" customHeight="1">
      <c r="A473" s="4040" t="s">
        <v>83</v>
      </c>
      <c r="B473" s="1782" t="s">
        <v>517</v>
      </c>
      <c r="C473" s="2391" t="s">
        <v>98</v>
      </c>
      <c r="D473" s="2822"/>
      <c r="E473" s="2823"/>
      <c r="F473" s="2824"/>
      <c r="G473" s="2824"/>
      <c r="H473" s="2823"/>
      <c r="I473" s="2823"/>
      <c r="J473" s="2823"/>
      <c r="K473" s="2823"/>
      <c r="L473" s="2823"/>
      <c r="M473" s="2825"/>
      <c r="N473" s="2825"/>
      <c r="O473" s="2825"/>
      <c r="P473" s="2825"/>
      <c r="Q473" s="2826"/>
      <c r="R473" s="2826"/>
      <c r="S473" s="2826"/>
      <c r="T473" s="2826"/>
      <c r="U473" s="2825"/>
      <c r="V473" s="2825"/>
      <c r="W473" s="2825"/>
      <c r="X473" s="2396"/>
      <c r="Y473" s="4043" t="s">
        <v>104</v>
      </c>
    </row>
    <row r="474" spans="1:26" ht="13.5" customHeight="1">
      <c r="A474" s="4041"/>
      <c r="B474" s="2302" t="s">
        <v>22</v>
      </c>
      <c r="C474" s="2397"/>
      <c r="D474" s="2307">
        <f>+D475</f>
        <v>123117584</v>
      </c>
      <c r="E474" s="2307">
        <f t="shared" ref="E474:O474" si="548">+E475</f>
        <v>0</v>
      </c>
      <c r="F474" s="2307">
        <f t="shared" si="548"/>
        <v>0</v>
      </c>
      <c r="G474" s="2307">
        <f t="shared" si="548"/>
        <v>0</v>
      </c>
      <c r="H474" s="2307">
        <f t="shared" si="548"/>
        <v>0</v>
      </c>
      <c r="I474" s="2307">
        <f t="shared" si="548"/>
        <v>0</v>
      </c>
      <c r="J474" s="2307">
        <f t="shared" si="548"/>
        <v>21442291</v>
      </c>
      <c r="K474" s="2307">
        <f t="shared" si="548"/>
        <v>23316038</v>
      </c>
      <c r="L474" s="2307">
        <f>+L475</f>
        <v>23911043</v>
      </c>
      <c r="M474" s="2307">
        <f t="shared" si="548"/>
        <v>103487326</v>
      </c>
      <c r="N474" s="2307">
        <f t="shared" si="548"/>
        <v>34817954</v>
      </c>
      <c r="O474" s="2307">
        <f t="shared" si="548"/>
        <v>19630258</v>
      </c>
      <c r="P474" s="2790">
        <v>0</v>
      </c>
      <c r="Q474" s="2790">
        <v>0</v>
      </c>
      <c r="R474" s="2790">
        <v>0</v>
      </c>
      <c r="S474" s="2790">
        <v>0</v>
      </c>
      <c r="T474" s="2790">
        <v>0</v>
      </c>
      <c r="U474" s="2790">
        <v>0</v>
      </c>
      <c r="V474" s="2790">
        <v>0</v>
      </c>
      <c r="W474" s="2790">
        <v>0</v>
      </c>
      <c r="X474" s="1798">
        <f>+X475</f>
        <v>0</v>
      </c>
      <c r="Y474" s="4044"/>
      <c r="Z474" s="1229">
        <f>+O474+P474+Q474+R474</f>
        <v>19630258</v>
      </c>
    </row>
    <row r="475" spans="1:26" ht="12.75" customHeight="1">
      <c r="A475" s="4041"/>
      <c r="B475" s="2303" t="s">
        <v>36</v>
      </c>
      <c r="C475" s="4055" t="s">
        <v>101</v>
      </c>
      <c r="D475" s="2308">
        <f>+D476+D477</f>
        <v>123117584</v>
      </c>
      <c r="E475" s="2308">
        <f t="shared" ref="E475:M475" si="549">+E476+E477</f>
        <v>0</v>
      </c>
      <c r="F475" s="2308">
        <f t="shared" si="549"/>
        <v>0</v>
      </c>
      <c r="G475" s="2308">
        <f t="shared" si="549"/>
        <v>0</v>
      </c>
      <c r="H475" s="2308">
        <f t="shared" si="549"/>
        <v>0</v>
      </c>
      <c r="I475" s="2308">
        <f t="shared" si="549"/>
        <v>0</v>
      </c>
      <c r="J475" s="2308">
        <f t="shared" si="549"/>
        <v>21442291</v>
      </c>
      <c r="K475" s="2308">
        <f t="shared" si="549"/>
        <v>23316038</v>
      </c>
      <c r="L475" s="2308">
        <f>+L476+L477</f>
        <v>23911043</v>
      </c>
      <c r="M475" s="2308">
        <f t="shared" si="549"/>
        <v>103487326</v>
      </c>
      <c r="N475" s="2308">
        <f t="shared" ref="N475:O475" si="550">+N476+N477</f>
        <v>34817954</v>
      </c>
      <c r="O475" s="2308">
        <f t="shared" si="550"/>
        <v>19630258</v>
      </c>
      <c r="P475" s="2792">
        <v>0</v>
      </c>
      <c r="Q475" s="2792">
        <v>0</v>
      </c>
      <c r="R475" s="2792">
        <v>0</v>
      </c>
      <c r="S475" s="2792">
        <v>0</v>
      </c>
      <c r="T475" s="2792">
        <v>0</v>
      </c>
      <c r="U475" s="2792">
        <v>0</v>
      </c>
      <c r="V475" s="2792">
        <v>0</v>
      </c>
      <c r="W475" s="2792">
        <v>0</v>
      </c>
      <c r="X475" s="1815">
        <f>+X476+X477</f>
        <v>0</v>
      </c>
      <c r="Y475" s="4044"/>
      <c r="Z475" s="1769" t="s">
        <v>465</v>
      </c>
    </row>
    <row r="476" spans="1:26">
      <c r="A476" s="4041"/>
      <c r="B476" s="2827" t="s">
        <v>24</v>
      </c>
      <c r="C476" s="4056"/>
      <c r="D476" s="1817">
        <f>+M476+O476</f>
        <v>116788507</v>
      </c>
      <c r="E476" s="1820">
        <f>+F476+G476+H476</f>
        <v>0</v>
      </c>
      <c r="F476" s="2828">
        <v>0</v>
      </c>
      <c r="G476" s="2828"/>
      <c r="H476" s="2828">
        <v>0</v>
      </c>
      <c r="I476" s="2829">
        <f>9525-9525</f>
        <v>0</v>
      </c>
      <c r="J476" s="2829">
        <v>21442291</v>
      </c>
      <c r="K476" s="2829">
        <f>22746057-19</f>
        <v>22746038</v>
      </c>
      <c r="L476" s="2828">
        <v>20961043</v>
      </c>
      <c r="M476" s="2828">
        <f>+J476+K476+L476+N476</f>
        <v>97588249</v>
      </c>
      <c r="N476" s="2828">
        <f>32589742-150865</f>
        <v>32438877</v>
      </c>
      <c r="O476" s="2828">
        <f>19201672-1414</f>
        <v>19200258</v>
      </c>
      <c r="P476" s="2795">
        <v>0</v>
      </c>
      <c r="Q476" s="2795">
        <v>0</v>
      </c>
      <c r="R476" s="2795">
        <v>0</v>
      </c>
      <c r="S476" s="2795">
        <v>0</v>
      </c>
      <c r="T476" s="2795">
        <v>0</v>
      </c>
      <c r="U476" s="2795">
        <v>0</v>
      </c>
      <c r="V476" s="2795">
        <v>0</v>
      </c>
      <c r="W476" s="2795">
        <v>0</v>
      </c>
      <c r="X476" s="1963">
        <f>SUM(P476:T476)</f>
        <v>0</v>
      </c>
      <c r="Y476" s="4044"/>
    </row>
    <row r="477" spans="1:26">
      <c r="A477" s="4041"/>
      <c r="B477" s="2830" t="s">
        <v>27</v>
      </c>
      <c r="C477" s="4057"/>
      <c r="D477" s="1817">
        <f>+M477+O477</f>
        <v>6329077</v>
      </c>
      <c r="E477" s="2831"/>
      <c r="F477" s="1779"/>
      <c r="G477" s="1779"/>
      <c r="H477" s="1779"/>
      <c r="I477" s="2832"/>
      <c r="J477" s="2832"/>
      <c r="K477" s="2832">
        <v>570000</v>
      </c>
      <c r="L477" s="1779">
        <v>2950000</v>
      </c>
      <c r="M477" s="2828">
        <f>+J477+K477+L477+N477</f>
        <v>5899077</v>
      </c>
      <c r="N477" s="1779">
        <f>2677528-298451</f>
        <v>2379077</v>
      </c>
      <c r="O477" s="1779">
        <v>430000</v>
      </c>
      <c r="P477" s="2795">
        <v>0</v>
      </c>
      <c r="Q477" s="2795">
        <v>0</v>
      </c>
      <c r="R477" s="2795">
        <v>0</v>
      </c>
      <c r="S477" s="2795">
        <v>0</v>
      </c>
      <c r="T477" s="2795">
        <v>0</v>
      </c>
      <c r="U477" s="2795">
        <v>0</v>
      </c>
      <c r="V477" s="2795">
        <v>0</v>
      </c>
      <c r="W477" s="2795">
        <v>0</v>
      </c>
      <c r="X477" s="1963">
        <f>SUM(P477:T477)</f>
        <v>0</v>
      </c>
      <c r="Y477" s="2833"/>
    </row>
    <row r="478" spans="1:26" ht="10.5" customHeight="1">
      <c r="A478" s="4041"/>
      <c r="B478" s="2302" t="s">
        <v>34</v>
      </c>
      <c r="C478" s="2397"/>
      <c r="D478" s="2307">
        <f>+D479</f>
        <v>6329077</v>
      </c>
      <c r="E478" s="2307">
        <f t="shared" ref="E478:O479" si="551">+E479</f>
        <v>0</v>
      </c>
      <c r="F478" s="2307">
        <f t="shared" si="551"/>
        <v>0</v>
      </c>
      <c r="G478" s="2307">
        <f t="shared" si="551"/>
        <v>0</v>
      </c>
      <c r="H478" s="2307">
        <f t="shared" si="551"/>
        <v>0</v>
      </c>
      <c r="I478" s="2307">
        <f t="shared" si="551"/>
        <v>0</v>
      </c>
      <c r="J478" s="2307">
        <f t="shared" si="551"/>
        <v>0</v>
      </c>
      <c r="K478" s="2307">
        <f t="shared" si="551"/>
        <v>570000</v>
      </c>
      <c r="L478" s="2307">
        <v>3520000</v>
      </c>
      <c r="M478" s="2307">
        <f t="shared" si="551"/>
        <v>5899077</v>
      </c>
      <c r="N478" s="2307">
        <f t="shared" si="551"/>
        <v>2379077</v>
      </c>
      <c r="O478" s="2307">
        <f t="shared" si="551"/>
        <v>430000</v>
      </c>
      <c r="P478" s="2790">
        <v>0</v>
      </c>
      <c r="Q478" s="2790">
        <v>0</v>
      </c>
      <c r="R478" s="2790">
        <v>0</v>
      </c>
      <c r="S478" s="2790">
        <v>0</v>
      </c>
      <c r="T478" s="2790">
        <v>0</v>
      </c>
      <c r="U478" s="2790">
        <v>0</v>
      </c>
      <c r="V478" s="2790">
        <v>0</v>
      </c>
      <c r="W478" s="2790">
        <v>0</v>
      </c>
      <c r="X478" s="4012" t="s">
        <v>35</v>
      </c>
      <c r="Y478" s="4058" t="s">
        <v>123</v>
      </c>
    </row>
    <row r="479" spans="1:26" ht="12.75" customHeight="1">
      <c r="A479" s="4041"/>
      <c r="B479" s="2303" t="s">
        <v>36</v>
      </c>
      <c r="C479" s="4046" t="s">
        <v>101</v>
      </c>
      <c r="D479" s="2308">
        <f>+D480</f>
        <v>6329077</v>
      </c>
      <c r="E479" s="2308">
        <f t="shared" si="551"/>
        <v>0</v>
      </c>
      <c r="F479" s="2308">
        <f t="shared" si="551"/>
        <v>0</v>
      </c>
      <c r="G479" s="2308">
        <f t="shared" si="551"/>
        <v>0</v>
      </c>
      <c r="H479" s="2308">
        <f t="shared" si="551"/>
        <v>0</v>
      </c>
      <c r="I479" s="2308">
        <f t="shared" si="551"/>
        <v>0</v>
      </c>
      <c r="J479" s="2308">
        <f t="shared" si="551"/>
        <v>0</v>
      </c>
      <c r="K479" s="2308">
        <f t="shared" si="551"/>
        <v>570000</v>
      </c>
      <c r="L479" s="2308">
        <v>3520000</v>
      </c>
      <c r="M479" s="2308">
        <f t="shared" si="551"/>
        <v>5899077</v>
      </c>
      <c r="N479" s="2308">
        <f t="shared" si="551"/>
        <v>2379077</v>
      </c>
      <c r="O479" s="2308">
        <f t="shared" si="551"/>
        <v>430000</v>
      </c>
      <c r="P479" s="2792">
        <v>0</v>
      </c>
      <c r="Q479" s="2792">
        <v>0</v>
      </c>
      <c r="R479" s="2792">
        <v>0</v>
      </c>
      <c r="S479" s="2792">
        <v>0</v>
      </c>
      <c r="T479" s="2792">
        <v>0</v>
      </c>
      <c r="U479" s="2792">
        <v>0</v>
      </c>
      <c r="V479" s="2792">
        <v>0</v>
      </c>
      <c r="W479" s="2792">
        <v>0</v>
      </c>
      <c r="X479" s="4013"/>
      <c r="Y479" s="4044"/>
    </row>
    <row r="480" spans="1:26" ht="13.5" customHeight="1" thickBot="1">
      <c r="A480" s="4042"/>
      <c r="B480" s="1786" t="s">
        <v>27</v>
      </c>
      <c r="C480" s="4047"/>
      <c r="D480" s="2726">
        <f>+M480+O480</f>
        <v>6329077</v>
      </c>
      <c r="E480" s="2834"/>
      <c r="F480" s="2835"/>
      <c r="G480" s="2835"/>
      <c r="H480" s="2835"/>
      <c r="I480" s="2836"/>
      <c r="J480" s="2836"/>
      <c r="K480" s="2836">
        <v>570000</v>
      </c>
      <c r="L480" s="1784">
        <v>3520000</v>
      </c>
      <c r="M480" s="1784">
        <f>+L480+N480</f>
        <v>5899077</v>
      </c>
      <c r="N480" s="1784">
        <f>2857528-180000-298451</f>
        <v>2379077</v>
      </c>
      <c r="O480" s="1784">
        <v>430000</v>
      </c>
      <c r="P480" s="2795">
        <v>0</v>
      </c>
      <c r="Q480" s="2795">
        <v>0</v>
      </c>
      <c r="R480" s="2795">
        <v>0</v>
      </c>
      <c r="S480" s="2795">
        <v>0</v>
      </c>
      <c r="T480" s="2795">
        <v>0</v>
      </c>
      <c r="U480" s="2795">
        <v>0</v>
      </c>
      <c r="V480" s="2795">
        <v>0</v>
      </c>
      <c r="W480" s="2795">
        <v>0</v>
      </c>
      <c r="X480" s="4014"/>
      <c r="Y480" s="4045"/>
    </row>
    <row r="481" spans="1:26" ht="13.5" customHeight="1">
      <c r="A481" s="4031" t="s">
        <v>140</v>
      </c>
      <c r="B481" s="704" t="s">
        <v>519</v>
      </c>
      <c r="C481" s="690" t="s">
        <v>98</v>
      </c>
      <c r="D481" s="691"/>
      <c r="E481" s="691"/>
      <c r="F481" s="706"/>
      <c r="G481" s="706"/>
      <c r="H481" s="691"/>
      <c r="I481" s="691"/>
      <c r="J481" s="691"/>
      <c r="K481" s="691"/>
      <c r="L481" s="691"/>
      <c r="M481" s="691"/>
      <c r="N481" s="691"/>
      <c r="O481" s="691"/>
      <c r="P481" s="707"/>
      <c r="Q481" s="707"/>
      <c r="R481" s="707"/>
      <c r="S481" s="707"/>
      <c r="T481" s="707"/>
      <c r="U481" s="707"/>
      <c r="V481" s="707"/>
      <c r="W481" s="707"/>
      <c r="X481" s="446"/>
      <c r="Y481" s="4034" t="s">
        <v>104</v>
      </c>
    </row>
    <row r="482" spans="1:26">
      <c r="A482" s="4032"/>
      <c r="B482" s="687" t="s">
        <v>22</v>
      </c>
      <c r="C482" s="669"/>
      <c r="D482" s="619">
        <f>+D483</f>
        <v>1743306</v>
      </c>
      <c r="E482" s="619">
        <f t="shared" ref="E482:P483" si="552">+E483</f>
        <v>0</v>
      </c>
      <c r="F482" s="619">
        <f t="shared" si="552"/>
        <v>0</v>
      </c>
      <c r="G482" s="619">
        <f t="shared" si="552"/>
        <v>0</v>
      </c>
      <c r="H482" s="619">
        <f t="shared" si="552"/>
        <v>0</v>
      </c>
      <c r="I482" s="619">
        <f t="shared" si="552"/>
        <v>0</v>
      </c>
      <c r="J482" s="619">
        <f t="shared" si="552"/>
        <v>0</v>
      </c>
      <c r="K482" s="619">
        <f t="shared" si="552"/>
        <v>354120</v>
      </c>
      <c r="L482" s="619">
        <f t="shared" si="552"/>
        <v>0</v>
      </c>
      <c r="M482" s="619">
        <f t="shared" si="552"/>
        <v>354120</v>
      </c>
      <c r="N482" s="619">
        <f t="shared" si="552"/>
        <v>0</v>
      </c>
      <c r="O482" s="619">
        <f t="shared" si="552"/>
        <v>149500</v>
      </c>
      <c r="P482" s="619">
        <f t="shared" si="552"/>
        <v>1239686</v>
      </c>
      <c r="Q482" s="1476">
        <v>0</v>
      </c>
      <c r="R482" s="1476">
        <v>0</v>
      </c>
      <c r="S482" s="1476">
        <v>0</v>
      </c>
      <c r="T482" s="1476">
        <v>0</v>
      </c>
      <c r="U482" s="1476">
        <v>0</v>
      </c>
      <c r="V482" s="1476">
        <v>0</v>
      </c>
      <c r="W482" s="1476">
        <v>0</v>
      </c>
      <c r="X482" s="487">
        <f>+X483</f>
        <v>1239686</v>
      </c>
      <c r="Y482" s="4035"/>
      <c r="Z482" s="1229">
        <f>+O482+P482+Q482+R482</f>
        <v>1389186</v>
      </c>
    </row>
    <row r="483" spans="1:26">
      <c r="A483" s="4032"/>
      <c r="B483" s="688" t="s">
        <v>36</v>
      </c>
      <c r="C483" s="4053" t="s">
        <v>101</v>
      </c>
      <c r="D483" s="622">
        <f>+D484</f>
        <v>1743306</v>
      </c>
      <c r="E483" s="622">
        <f t="shared" si="552"/>
        <v>0</v>
      </c>
      <c r="F483" s="622">
        <f t="shared" si="552"/>
        <v>0</v>
      </c>
      <c r="G483" s="622">
        <f t="shared" si="552"/>
        <v>0</v>
      </c>
      <c r="H483" s="622">
        <f t="shared" si="552"/>
        <v>0</v>
      </c>
      <c r="I483" s="622">
        <f t="shared" si="552"/>
        <v>0</v>
      </c>
      <c r="J483" s="622">
        <f t="shared" si="552"/>
        <v>0</v>
      </c>
      <c r="K483" s="622">
        <f t="shared" si="552"/>
        <v>354120</v>
      </c>
      <c r="L483" s="622">
        <f t="shared" si="552"/>
        <v>0</v>
      </c>
      <c r="M483" s="622">
        <f t="shared" si="552"/>
        <v>354120</v>
      </c>
      <c r="N483" s="622">
        <f t="shared" si="552"/>
        <v>0</v>
      </c>
      <c r="O483" s="622">
        <f t="shared" si="552"/>
        <v>149500</v>
      </c>
      <c r="P483" s="622">
        <f t="shared" si="552"/>
        <v>1239686</v>
      </c>
      <c r="Q483" s="1477">
        <v>0</v>
      </c>
      <c r="R483" s="1477">
        <v>0</v>
      </c>
      <c r="S483" s="1477">
        <v>0</v>
      </c>
      <c r="T483" s="1477">
        <v>0</v>
      </c>
      <c r="U483" s="1477">
        <v>0</v>
      </c>
      <c r="V483" s="1477">
        <v>0</v>
      </c>
      <c r="W483" s="1477">
        <v>0</v>
      </c>
      <c r="X483" s="509">
        <f>+X484</f>
        <v>1239686</v>
      </c>
      <c r="Y483" s="4035"/>
    </row>
    <row r="484" spans="1:26" ht="13.5" thickBot="1">
      <c r="A484" s="4033"/>
      <c r="B484" s="708" t="s">
        <v>24</v>
      </c>
      <c r="C484" s="4059"/>
      <c r="D484" s="456">
        <f t="shared" ref="D484" si="553">M484+O484+P484+Q484+R484+S484+T484+U484+V484+W484</f>
        <v>1743306</v>
      </c>
      <c r="E484" s="463">
        <f>+F484+G484+H484</f>
        <v>0</v>
      </c>
      <c r="F484" s="537">
        <v>0</v>
      </c>
      <c r="G484" s="537"/>
      <c r="H484" s="537">
        <v>0</v>
      </c>
      <c r="I484" s="536">
        <f>9525-9525</f>
        <v>0</v>
      </c>
      <c r="J484" s="536"/>
      <c r="K484" s="536">
        <v>354120</v>
      </c>
      <c r="L484" s="537">
        <f>1389186-1389186</f>
        <v>0</v>
      </c>
      <c r="M484" s="457">
        <f>+E484+I484+J484+K484+L484+N484</f>
        <v>354120</v>
      </c>
      <c r="N484" s="537">
        <f>149500-149500</f>
        <v>0</v>
      </c>
      <c r="O484" s="537">
        <f>1200000+39686+149500-1239686</f>
        <v>149500</v>
      </c>
      <c r="P484" s="537">
        <v>1239686</v>
      </c>
      <c r="Q484" s="1481">
        <v>0</v>
      </c>
      <c r="R484" s="1481">
        <v>0</v>
      </c>
      <c r="S484" s="1481">
        <v>0</v>
      </c>
      <c r="T484" s="1481">
        <v>0</v>
      </c>
      <c r="U484" s="1481">
        <v>0</v>
      </c>
      <c r="V484" s="1481">
        <v>0</v>
      </c>
      <c r="W484" s="1481">
        <v>0</v>
      </c>
      <c r="X484" s="416">
        <f>SUM(P484:T484)</f>
        <v>1239686</v>
      </c>
      <c r="Y484" s="4035"/>
    </row>
    <row r="485" spans="1:26" ht="22.5" customHeight="1">
      <c r="A485" s="4031" t="s">
        <v>105</v>
      </c>
      <c r="B485" s="704" t="s">
        <v>141</v>
      </c>
      <c r="C485" s="685" t="s">
        <v>98</v>
      </c>
      <c r="D485" s="624"/>
      <c r="E485" s="443"/>
      <c r="F485" s="444"/>
      <c r="G485" s="444"/>
      <c r="H485" s="443"/>
      <c r="I485" s="443"/>
      <c r="J485" s="443"/>
      <c r="K485" s="443"/>
      <c r="L485" s="443"/>
      <c r="M485" s="445"/>
      <c r="N485" s="445"/>
      <c r="O485" s="445"/>
      <c r="P485" s="445"/>
      <c r="Q485" s="445"/>
      <c r="R485" s="445"/>
      <c r="S485" s="1144"/>
      <c r="T485" s="565"/>
      <c r="U485" s="1144"/>
      <c r="V485" s="1144"/>
      <c r="W485" s="1144"/>
      <c r="X485" s="446"/>
      <c r="Y485" s="4034" t="s">
        <v>104</v>
      </c>
    </row>
    <row r="486" spans="1:26">
      <c r="A486" s="4032"/>
      <c r="B486" s="687" t="s">
        <v>22</v>
      </c>
      <c r="C486" s="669"/>
      <c r="D486" s="619">
        <f>+D487</f>
        <v>395660</v>
      </c>
      <c r="E486" s="619">
        <f t="shared" ref="E486:N486" si="554">+E487</f>
        <v>0</v>
      </c>
      <c r="F486" s="619">
        <f t="shared" si="554"/>
        <v>0</v>
      </c>
      <c r="G486" s="619">
        <f t="shared" si="554"/>
        <v>0</v>
      </c>
      <c r="H486" s="619">
        <f t="shared" si="554"/>
        <v>0</v>
      </c>
      <c r="I486" s="619">
        <f t="shared" si="554"/>
        <v>228400</v>
      </c>
      <c r="J486" s="619">
        <f t="shared" si="554"/>
        <v>3000</v>
      </c>
      <c r="K486" s="619">
        <f t="shared" si="554"/>
        <v>22878</v>
      </c>
      <c r="L486" s="619">
        <f t="shared" si="554"/>
        <v>137917</v>
      </c>
      <c r="M486" s="619">
        <f t="shared" si="554"/>
        <v>395660</v>
      </c>
      <c r="N486" s="619">
        <f t="shared" si="554"/>
        <v>3465</v>
      </c>
      <c r="O486" s="1476">
        <v>0</v>
      </c>
      <c r="P486" s="1476">
        <v>0</v>
      </c>
      <c r="Q486" s="1476">
        <v>0</v>
      </c>
      <c r="R486" s="1476">
        <v>0</v>
      </c>
      <c r="S486" s="1476">
        <v>0</v>
      </c>
      <c r="T486" s="1476">
        <v>0</v>
      </c>
      <c r="U486" s="1476">
        <v>0</v>
      </c>
      <c r="V486" s="1476">
        <v>0</v>
      </c>
      <c r="W486" s="1476">
        <v>0</v>
      </c>
      <c r="X486" s="958">
        <f>+X487</f>
        <v>0</v>
      </c>
      <c r="Y486" s="4035"/>
      <c r="Z486" s="1229">
        <f>+O486+P486+Q486+R486</f>
        <v>0</v>
      </c>
    </row>
    <row r="487" spans="1:26">
      <c r="A487" s="4032"/>
      <c r="B487" s="688" t="s">
        <v>36</v>
      </c>
      <c r="C487" s="4053" t="s">
        <v>101</v>
      </c>
      <c r="D487" s="622">
        <f>+D488+D489</f>
        <v>395660</v>
      </c>
      <c r="E487" s="622">
        <f t="shared" ref="E487:N487" si="555">+E488+E489</f>
        <v>0</v>
      </c>
      <c r="F487" s="622">
        <f t="shared" si="555"/>
        <v>0</v>
      </c>
      <c r="G487" s="622">
        <f t="shared" si="555"/>
        <v>0</v>
      </c>
      <c r="H487" s="622">
        <f t="shared" si="555"/>
        <v>0</v>
      </c>
      <c r="I487" s="622">
        <f t="shared" si="555"/>
        <v>228400</v>
      </c>
      <c r="J487" s="622">
        <f t="shared" si="555"/>
        <v>3000</v>
      </c>
      <c r="K487" s="622">
        <f t="shared" si="555"/>
        <v>22878</v>
      </c>
      <c r="L487" s="622">
        <f t="shared" si="555"/>
        <v>137917</v>
      </c>
      <c r="M487" s="622">
        <f t="shared" ref="M487" si="556">+M488+M489</f>
        <v>395660</v>
      </c>
      <c r="N487" s="622">
        <f t="shared" si="555"/>
        <v>3465</v>
      </c>
      <c r="O487" s="1477">
        <v>0</v>
      </c>
      <c r="P487" s="1477">
        <v>0</v>
      </c>
      <c r="Q487" s="1477">
        <v>0</v>
      </c>
      <c r="R487" s="1477">
        <v>0</v>
      </c>
      <c r="S487" s="1477">
        <v>0</v>
      </c>
      <c r="T487" s="1477">
        <v>0</v>
      </c>
      <c r="U487" s="1477">
        <v>0</v>
      </c>
      <c r="V487" s="1477">
        <v>0</v>
      </c>
      <c r="W487" s="1477">
        <v>0</v>
      </c>
      <c r="X487" s="509">
        <f>+X488</f>
        <v>0</v>
      </c>
      <c r="Y487" s="4035"/>
    </row>
    <row r="488" spans="1:26">
      <c r="A488" s="4032"/>
      <c r="B488" s="711" t="s">
        <v>24</v>
      </c>
      <c r="C488" s="4060"/>
      <c r="D488" s="456">
        <f t="shared" ref="D488:D489" si="557">M488+O488+P488+Q488+R488+S488+T488+U488+V488+W488</f>
        <v>338657</v>
      </c>
      <c r="E488" s="463">
        <f>+F488+G488+H488</f>
        <v>0</v>
      </c>
      <c r="F488" s="537">
        <v>0</v>
      </c>
      <c r="G488" s="537"/>
      <c r="H488" s="537">
        <v>0</v>
      </c>
      <c r="I488" s="623">
        <v>228400</v>
      </c>
      <c r="J488" s="501">
        <f>316600-313600</f>
        <v>3000</v>
      </c>
      <c r="K488" s="536">
        <v>0</v>
      </c>
      <c r="L488" s="537">
        <f>350000-212083-34125</f>
        <v>103792</v>
      </c>
      <c r="M488" s="457">
        <f>+E488+I488+J488+K488+L488+N488</f>
        <v>338657</v>
      </c>
      <c r="N488" s="537">
        <f>5665-2200</f>
        <v>3465</v>
      </c>
      <c r="O488" s="1481">
        <v>0</v>
      </c>
      <c r="P488" s="1481">
        <v>0</v>
      </c>
      <c r="Q488" s="1481">
        <v>0</v>
      </c>
      <c r="R488" s="1481">
        <v>0</v>
      </c>
      <c r="S488" s="1481">
        <v>0</v>
      </c>
      <c r="T488" s="1481">
        <v>0</v>
      </c>
      <c r="U488" s="1481">
        <v>0</v>
      </c>
      <c r="V488" s="1481">
        <v>0</v>
      </c>
      <c r="W488" s="1481">
        <v>0</v>
      </c>
      <c r="X488" s="416">
        <f>SUM(P488:T488)</f>
        <v>0</v>
      </c>
      <c r="Y488" s="4035"/>
    </row>
    <row r="489" spans="1:26">
      <c r="A489" s="4032"/>
      <c r="B489" s="712" t="s">
        <v>27</v>
      </c>
      <c r="C489" s="4061"/>
      <c r="D489" s="456">
        <f t="shared" si="557"/>
        <v>57003</v>
      </c>
      <c r="E489" s="951"/>
      <c r="F489" s="1076"/>
      <c r="G489" s="1076"/>
      <c r="H489" s="1076"/>
      <c r="I489" s="1143"/>
      <c r="J489" s="1143"/>
      <c r="K489" s="1143">
        <v>22878</v>
      </c>
      <c r="L489" s="1076">
        <v>34125</v>
      </c>
      <c r="M489" s="457">
        <f>+E489+I489+J489+K489+L489+N489</f>
        <v>57003</v>
      </c>
      <c r="N489" s="1076"/>
      <c r="O489" s="1481">
        <v>0</v>
      </c>
      <c r="P489" s="1481">
        <v>0</v>
      </c>
      <c r="Q489" s="1481">
        <v>0</v>
      </c>
      <c r="R489" s="1481">
        <v>0</v>
      </c>
      <c r="S489" s="1481">
        <v>0</v>
      </c>
      <c r="T489" s="1481">
        <v>0</v>
      </c>
      <c r="U489" s="1481">
        <v>0</v>
      </c>
      <c r="V489" s="1481">
        <v>0</v>
      </c>
      <c r="W489" s="1481">
        <v>0</v>
      </c>
      <c r="X489" s="416">
        <f>SUM(P489:T489)</f>
        <v>0</v>
      </c>
      <c r="Y489" s="1764"/>
    </row>
    <row r="490" spans="1:26">
      <c r="A490" s="4032"/>
      <c r="B490" s="687" t="s">
        <v>34</v>
      </c>
      <c r="C490" s="669"/>
      <c r="D490" s="619">
        <f>+D491</f>
        <v>57003</v>
      </c>
      <c r="E490" s="619">
        <f t="shared" ref="E490:N491" si="558">+E491</f>
        <v>0</v>
      </c>
      <c r="F490" s="619">
        <f t="shared" si="558"/>
        <v>0</v>
      </c>
      <c r="G490" s="619">
        <f t="shared" si="558"/>
        <v>0</v>
      </c>
      <c r="H490" s="619">
        <f t="shared" si="558"/>
        <v>0</v>
      </c>
      <c r="I490" s="619">
        <f t="shared" si="558"/>
        <v>0</v>
      </c>
      <c r="J490" s="619">
        <f t="shared" si="558"/>
        <v>0</v>
      </c>
      <c r="K490" s="619">
        <f t="shared" si="558"/>
        <v>22878</v>
      </c>
      <c r="L490" s="619">
        <f t="shared" si="558"/>
        <v>34125</v>
      </c>
      <c r="M490" s="619">
        <f t="shared" si="558"/>
        <v>57003</v>
      </c>
      <c r="N490" s="619">
        <f t="shared" si="558"/>
        <v>0</v>
      </c>
      <c r="O490" s="1476">
        <v>0</v>
      </c>
      <c r="P490" s="1476">
        <v>0</v>
      </c>
      <c r="Q490" s="1476">
        <v>0</v>
      </c>
      <c r="R490" s="1476">
        <v>0</v>
      </c>
      <c r="S490" s="1476">
        <v>0</v>
      </c>
      <c r="T490" s="1476">
        <v>0</v>
      </c>
      <c r="U490" s="1476">
        <v>0</v>
      </c>
      <c r="V490" s="1476">
        <v>0</v>
      </c>
      <c r="W490" s="1476">
        <v>0</v>
      </c>
      <c r="X490" s="4015" t="s">
        <v>35</v>
      </c>
      <c r="Y490" s="4062" t="s">
        <v>123</v>
      </c>
    </row>
    <row r="491" spans="1:26">
      <c r="A491" s="4032"/>
      <c r="B491" s="688" t="s">
        <v>36</v>
      </c>
      <c r="C491" s="4037" t="s">
        <v>101</v>
      </c>
      <c r="D491" s="622">
        <f>+D492</f>
        <v>57003</v>
      </c>
      <c r="E491" s="622">
        <f t="shared" si="558"/>
        <v>0</v>
      </c>
      <c r="F491" s="622">
        <f t="shared" si="558"/>
        <v>0</v>
      </c>
      <c r="G491" s="622">
        <f t="shared" si="558"/>
        <v>0</v>
      </c>
      <c r="H491" s="622">
        <f t="shared" si="558"/>
        <v>0</v>
      </c>
      <c r="I491" s="622">
        <f t="shared" si="558"/>
        <v>0</v>
      </c>
      <c r="J491" s="622">
        <f t="shared" si="558"/>
        <v>0</v>
      </c>
      <c r="K491" s="622">
        <f t="shared" si="558"/>
        <v>22878</v>
      </c>
      <c r="L491" s="622">
        <f t="shared" si="558"/>
        <v>34125</v>
      </c>
      <c r="M491" s="622">
        <f t="shared" si="558"/>
        <v>57003</v>
      </c>
      <c r="N491" s="622">
        <f t="shared" si="558"/>
        <v>0</v>
      </c>
      <c r="O491" s="1477">
        <v>0</v>
      </c>
      <c r="P491" s="1477">
        <v>0</v>
      </c>
      <c r="Q491" s="1477">
        <v>0</v>
      </c>
      <c r="R491" s="1477">
        <v>0</v>
      </c>
      <c r="S491" s="1477">
        <v>0</v>
      </c>
      <c r="T491" s="1477">
        <v>0</v>
      </c>
      <c r="U491" s="1477">
        <v>0</v>
      </c>
      <c r="V491" s="1477">
        <v>0</v>
      </c>
      <c r="W491" s="1477">
        <v>0</v>
      </c>
      <c r="X491" s="4016"/>
      <c r="Y491" s="4035"/>
    </row>
    <row r="492" spans="1:26" ht="13.5" thickBot="1">
      <c r="A492" s="4033"/>
      <c r="B492" s="708" t="s">
        <v>27</v>
      </c>
      <c r="C492" s="4038"/>
      <c r="D492" s="456">
        <f t="shared" ref="D492" si="559">M492+O492+P492+Q492+R492+S492+T492+U492+V492+W492</f>
        <v>57003</v>
      </c>
      <c r="E492" s="498"/>
      <c r="F492" s="1145"/>
      <c r="G492" s="1145"/>
      <c r="H492" s="1145"/>
      <c r="I492" s="1146"/>
      <c r="J492" s="1146"/>
      <c r="K492" s="1146">
        <v>22878</v>
      </c>
      <c r="L492" s="504">
        <v>34125</v>
      </c>
      <c r="M492" s="457">
        <f>+E492+I492+J492+K492+L492+N492</f>
        <v>57003</v>
      </c>
      <c r="N492" s="504"/>
      <c r="O492" s="1481">
        <v>0</v>
      </c>
      <c r="P492" s="1481">
        <v>0</v>
      </c>
      <c r="Q492" s="1481">
        <v>0</v>
      </c>
      <c r="R492" s="1481">
        <v>0</v>
      </c>
      <c r="S492" s="1481">
        <v>0</v>
      </c>
      <c r="T492" s="1481">
        <v>0</v>
      </c>
      <c r="U492" s="1481">
        <v>0</v>
      </c>
      <c r="V492" s="1481">
        <v>0</v>
      </c>
      <c r="W492" s="1481">
        <v>0</v>
      </c>
      <c r="X492" s="4017"/>
      <c r="Y492" s="4036"/>
    </row>
    <row r="493" spans="1:26" ht="26.25" customHeight="1">
      <c r="A493" s="4031" t="s">
        <v>106</v>
      </c>
      <c r="B493" s="704" t="s">
        <v>447</v>
      </c>
      <c r="C493" s="685" t="s">
        <v>98</v>
      </c>
      <c r="D493" s="624"/>
      <c r="E493" s="443"/>
      <c r="F493" s="444"/>
      <c r="G493" s="444"/>
      <c r="H493" s="443"/>
      <c r="I493" s="443"/>
      <c r="J493" s="443"/>
      <c r="K493" s="443"/>
      <c r="L493" s="443"/>
      <c r="M493" s="445"/>
      <c r="N493" s="445"/>
      <c r="O493" s="445"/>
      <c r="P493" s="445"/>
      <c r="Q493" s="445"/>
      <c r="R493" s="445"/>
      <c r="S493" s="445"/>
      <c r="T493" s="566"/>
      <c r="U493" s="1144"/>
      <c r="V493" s="1144"/>
      <c r="W493" s="1144"/>
      <c r="X493" s="1144"/>
      <c r="Y493" s="4034" t="s">
        <v>104</v>
      </c>
    </row>
    <row r="494" spans="1:26">
      <c r="A494" s="4032"/>
      <c r="B494" s="687" t="s">
        <v>22</v>
      </c>
      <c r="C494" s="669"/>
      <c r="D494" s="619">
        <f>+D495</f>
        <v>4410000</v>
      </c>
      <c r="E494" s="619"/>
      <c r="F494" s="619"/>
      <c r="G494" s="619"/>
      <c r="H494" s="619"/>
      <c r="I494" s="619"/>
      <c r="J494" s="619">
        <f>+J495</f>
        <v>0</v>
      </c>
      <c r="K494" s="619">
        <f t="shared" ref="K494:P495" si="560">+K495</f>
        <v>0</v>
      </c>
      <c r="L494" s="619">
        <f t="shared" si="560"/>
        <v>0</v>
      </c>
      <c r="M494" s="1476">
        <f t="shared" si="560"/>
        <v>0</v>
      </c>
      <c r="N494" s="1476">
        <f t="shared" si="560"/>
        <v>0</v>
      </c>
      <c r="O494" s="1476">
        <f t="shared" si="560"/>
        <v>0</v>
      </c>
      <c r="P494" s="619">
        <f t="shared" si="560"/>
        <v>4410000</v>
      </c>
      <c r="Q494" s="1476">
        <v>0</v>
      </c>
      <c r="R494" s="1476">
        <v>0</v>
      </c>
      <c r="S494" s="1476">
        <v>0</v>
      </c>
      <c r="T494" s="1476">
        <v>0</v>
      </c>
      <c r="U494" s="1476">
        <v>0</v>
      </c>
      <c r="V494" s="1476">
        <v>0</v>
      </c>
      <c r="W494" s="1476">
        <v>0</v>
      </c>
      <c r="X494" s="1164">
        <f>+X495</f>
        <v>4410000</v>
      </c>
      <c r="Y494" s="4035"/>
    </row>
    <row r="495" spans="1:26">
      <c r="A495" s="4032"/>
      <c r="B495" s="688" t="s">
        <v>36</v>
      </c>
      <c r="C495" s="4037" t="s">
        <v>101</v>
      </c>
      <c r="D495" s="622">
        <f>+D496</f>
        <v>4410000</v>
      </c>
      <c r="E495" s="622"/>
      <c r="F495" s="622"/>
      <c r="G495" s="622"/>
      <c r="H495" s="622"/>
      <c r="I495" s="622"/>
      <c r="J495" s="622">
        <f>+J496</f>
        <v>0</v>
      </c>
      <c r="K495" s="622">
        <f t="shared" si="560"/>
        <v>0</v>
      </c>
      <c r="L495" s="622">
        <f t="shared" si="560"/>
        <v>0</v>
      </c>
      <c r="M495" s="1477">
        <f t="shared" si="560"/>
        <v>0</v>
      </c>
      <c r="N495" s="1477">
        <f t="shared" si="560"/>
        <v>0</v>
      </c>
      <c r="O495" s="1477">
        <f t="shared" si="560"/>
        <v>0</v>
      </c>
      <c r="P495" s="622">
        <f t="shared" si="560"/>
        <v>4410000</v>
      </c>
      <c r="Q495" s="1477">
        <v>0</v>
      </c>
      <c r="R495" s="1477">
        <v>0</v>
      </c>
      <c r="S495" s="1477">
        <v>0</v>
      </c>
      <c r="T495" s="1477">
        <v>0</v>
      </c>
      <c r="U495" s="1477">
        <v>0</v>
      </c>
      <c r="V495" s="1477">
        <v>0</v>
      </c>
      <c r="W495" s="1477">
        <v>0</v>
      </c>
      <c r="X495" s="591">
        <f>+X496</f>
        <v>4410000</v>
      </c>
      <c r="Y495" s="4035"/>
    </row>
    <row r="496" spans="1:26" ht="13.5" thickBot="1">
      <c r="A496" s="4033"/>
      <c r="B496" s="708" t="s">
        <v>24</v>
      </c>
      <c r="C496" s="4038"/>
      <c r="D496" s="456">
        <f>M496+O496+P496+Q496+R496+S496+T496+U496+V496+W496</f>
        <v>4410000</v>
      </c>
      <c r="E496" s="498"/>
      <c r="F496" s="1145"/>
      <c r="G496" s="1145"/>
      <c r="H496" s="1145"/>
      <c r="I496" s="1147"/>
      <c r="J496" s="504"/>
      <c r="K496" s="1146"/>
      <c r="L496" s="1145"/>
      <c r="M496" s="1658">
        <f>+E496+I496+J496+K496+L496+N496</f>
        <v>0</v>
      </c>
      <c r="N496" s="1683">
        <v>0</v>
      </c>
      <c r="O496" s="1683">
        <v>0</v>
      </c>
      <c r="P496" s="1145">
        <v>4410000</v>
      </c>
      <c r="Q496" s="1481">
        <v>0</v>
      </c>
      <c r="R496" s="1481">
        <v>0</v>
      </c>
      <c r="S496" s="1481">
        <v>0</v>
      </c>
      <c r="T496" s="1481">
        <v>0</v>
      </c>
      <c r="U496" s="1481">
        <v>0</v>
      </c>
      <c r="V496" s="1481">
        <v>0</v>
      </c>
      <c r="W496" s="1481">
        <v>0</v>
      </c>
      <c r="X496" s="416">
        <f>SUM(P496:T496)</f>
        <v>4410000</v>
      </c>
      <c r="Y496" s="4035"/>
    </row>
    <row r="497" spans="1:26" ht="15" customHeight="1">
      <c r="A497" s="4031" t="s">
        <v>107</v>
      </c>
      <c r="B497" s="1782" t="s">
        <v>388</v>
      </c>
      <c r="C497" s="685" t="s">
        <v>131</v>
      </c>
      <c r="D497" s="624"/>
      <c r="E497" s="443"/>
      <c r="F497" s="444"/>
      <c r="G497" s="444"/>
      <c r="H497" s="443"/>
      <c r="I497" s="443"/>
      <c r="J497" s="443"/>
      <c r="K497" s="443"/>
      <c r="L497" s="443"/>
      <c r="M497" s="445"/>
      <c r="N497" s="445"/>
      <c r="O497" s="445"/>
      <c r="P497" s="445"/>
      <c r="Q497" s="445"/>
      <c r="R497" s="445"/>
      <c r="S497" s="445"/>
      <c r="T497" s="566"/>
      <c r="U497" s="445"/>
      <c r="V497" s="445"/>
      <c r="W497" s="445"/>
      <c r="X497" s="446"/>
      <c r="Y497" s="4034" t="s">
        <v>123</v>
      </c>
    </row>
    <row r="498" spans="1:26">
      <c r="A498" s="4032"/>
      <c r="B498" s="687" t="s">
        <v>22</v>
      </c>
      <c r="C498" s="669"/>
      <c r="D498" s="2307">
        <f>+D499</f>
        <v>12424812</v>
      </c>
      <c r="E498" s="619"/>
      <c r="F498" s="619"/>
      <c r="G498" s="619"/>
      <c r="H498" s="619"/>
      <c r="I498" s="619"/>
      <c r="J498" s="619">
        <f>+J499</f>
        <v>951324</v>
      </c>
      <c r="K498" s="619">
        <f t="shared" ref="K498:R499" si="561">+K499</f>
        <v>919494</v>
      </c>
      <c r="L498" s="619">
        <f t="shared" si="561"/>
        <v>925672</v>
      </c>
      <c r="M498" s="619">
        <f t="shared" si="561"/>
        <v>3974490</v>
      </c>
      <c r="N498" s="619">
        <f t="shared" si="561"/>
        <v>1178000</v>
      </c>
      <c r="O498" s="2307">
        <f t="shared" si="561"/>
        <v>1100322</v>
      </c>
      <c r="P498" s="619">
        <f t="shared" si="561"/>
        <v>1350000</v>
      </c>
      <c r="Q498" s="619">
        <f t="shared" si="561"/>
        <v>3000000</v>
      </c>
      <c r="R498" s="619">
        <f t="shared" si="561"/>
        <v>3000000</v>
      </c>
      <c r="S498" s="1476">
        <v>0</v>
      </c>
      <c r="T498" s="1476">
        <v>0</v>
      </c>
      <c r="U498" s="1476">
        <v>0</v>
      </c>
      <c r="V498" s="1476">
        <v>0</v>
      </c>
      <c r="W498" s="1476">
        <v>0</v>
      </c>
      <c r="X498" s="1164">
        <f>+X499</f>
        <v>7350000</v>
      </c>
      <c r="Y498" s="4035"/>
      <c r="Z498" s="1229">
        <f>+O498+P498+Q498+R498</f>
        <v>8450322</v>
      </c>
    </row>
    <row r="499" spans="1:26">
      <c r="A499" s="4032"/>
      <c r="B499" s="688" t="s">
        <v>36</v>
      </c>
      <c r="C499" s="4037" t="s">
        <v>119</v>
      </c>
      <c r="D499" s="2308">
        <f>+D500</f>
        <v>12424812</v>
      </c>
      <c r="E499" s="622"/>
      <c r="F499" s="622"/>
      <c r="G499" s="622"/>
      <c r="H499" s="622"/>
      <c r="I499" s="622"/>
      <c r="J499" s="622">
        <f>+J500</f>
        <v>951324</v>
      </c>
      <c r="K499" s="622">
        <f t="shared" si="561"/>
        <v>919494</v>
      </c>
      <c r="L499" s="622">
        <f t="shared" si="561"/>
        <v>925672</v>
      </c>
      <c r="M499" s="622">
        <f t="shared" si="561"/>
        <v>3974490</v>
      </c>
      <c r="N499" s="622">
        <f t="shared" si="561"/>
        <v>1178000</v>
      </c>
      <c r="O499" s="2308">
        <f t="shared" si="561"/>
        <v>1100322</v>
      </c>
      <c r="P499" s="622">
        <f t="shared" si="561"/>
        <v>1350000</v>
      </c>
      <c r="Q499" s="622">
        <f t="shared" si="561"/>
        <v>3000000</v>
      </c>
      <c r="R499" s="622">
        <f t="shared" si="561"/>
        <v>3000000</v>
      </c>
      <c r="S499" s="1477">
        <v>0</v>
      </c>
      <c r="T499" s="1477">
        <v>0</v>
      </c>
      <c r="U499" s="1477">
        <v>0</v>
      </c>
      <c r="V499" s="1477">
        <v>0</v>
      </c>
      <c r="W499" s="1477">
        <v>0</v>
      </c>
      <c r="X499" s="591">
        <f>+X500</f>
        <v>7350000</v>
      </c>
      <c r="Y499" s="4035"/>
    </row>
    <row r="500" spans="1:26" ht="13.5" thickBot="1">
      <c r="A500" s="4033"/>
      <c r="B500" s="1665" t="s">
        <v>24</v>
      </c>
      <c r="C500" s="4038"/>
      <c r="D500" s="1958">
        <f t="shared" ref="D500" si="562">M500+O500+P500+Q500+R500+S500+T500+U500+V500+W500</f>
        <v>12424812</v>
      </c>
      <c r="E500" s="498"/>
      <c r="F500" s="1145"/>
      <c r="G500" s="1145"/>
      <c r="H500" s="1145"/>
      <c r="I500" s="1147"/>
      <c r="J500" s="504">
        <f>969812-18488</f>
        <v>951324</v>
      </c>
      <c r="K500" s="1146">
        <f>1150000-230506</f>
        <v>919494</v>
      </c>
      <c r="L500" s="1145">
        <f>2150000-700000-500000-24328</f>
        <v>925672</v>
      </c>
      <c r="M500" s="457">
        <f>+E500+I500+J500+K500+L500+N500</f>
        <v>3974490</v>
      </c>
      <c r="N500" s="1145">
        <v>1178000</v>
      </c>
      <c r="O500" s="2309">
        <f>3000000-440000-1450000-9678</f>
        <v>1100322</v>
      </c>
      <c r="P500" s="1145">
        <f>3000000-250000-1400000</f>
        <v>1350000</v>
      </c>
      <c r="Q500" s="1145">
        <v>3000000</v>
      </c>
      <c r="R500" s="1145">
        <v>3000000</v>
      </c>
      <c r="S500" s="1481">
        <v>0</v>
      </c>
      <c r="T500" s="1481">
        <v>0</v>
      </c>
      <c r="U500" s="1481">
        <v>0</v>
      </c>
      <c r="V500" s="1481">
        <v>0</v>
      </c>
      <c r="W500" s="1481">
        <v>0</v>
      </c>
      <c r="X500" s="416">
        <f>SUM(P500:T500)</f>
        <v>7350000</v>
      </c>
      <c r="Y500" s="4036"/>
    </row>
    <row r="501" spans="1:26" ht="15.75" customHeight="1">
      <c r="A501" s="4031" t="s">
        <v>109</v>
      </c>
      <c r="B501" s="1782" t="s">
        <v>383</v>
      </c>
      <c r="C501" s="685" t="s">
        <v>131</v>
      </c>
      <c r="D501" s="624"/>
      <c r="E501" s="443"/>
      <c r="F501" s="444"/>
      <c r="G501" s="444"/>
      <c r="H501" s="443"/>
      <c r="I501" s="443"/>
      <c r="J501" s="443"/>
      <c r="K501" s="443"/>
      <c r="L501" s="443"/>
      <c r="M501" s="445"/>
      <c r="N501" s="445"/>
      <c r="O501" s="445"/>
      <c r="P501" s="445"/>
      <c r="Q501" s="445"/>
      <c r="R501" s="445"/>
      <c r="S501" s="445"/>
      <c r="T501" s="566"/>
      <c r="U501" s="1684"/>
      <c r="V501" s="1684"/>
      <c r="W501" s="1684"/>
      <c r="X501" s="446"/>
      <c r="Y501" s="4034" t="s">
        <v>123</v>
      </c>
    </row>
    <row r="502" spans="1:26">
      <c r="A502" s="4032"/>
      <c r="B502" s="2302" t="s">
        <v>22</v>
      </c>
      <c r="C502" s="669"/>
      <c r="D502" s="1780">
        <f>+D503</f>
        <v>635852749</v>
      </c>
      <c r="E502" s="1712"/>
      <c r="F502" s="1712"/>
      <c r="G502" s="1712"/>
      <c r="H502" s="1712"/>
      <c r="I502" s="1712"/>
      <c r="J502" s="1712"/>
      <c r="K502" s="1712"/>
      <c r="L502" s="1712">
        <f t="shared" ref="L502:X502" si="563">+L503</f>
        <v>77246948</v>
      </c>
      <c r="M502" s="1712">
        <f t="shared" si="563"/>
        <v>157023229</v>
      </c>
      <c r="N502" s="1712">
        <f t="shared" si="563"/>
        <v>79776281</v>
      </c>
      <c r="O502" s="1780">
        <f>+O503</f>
        <v>80672106</v>
      </c>
      <c r="P502" s="1780">
        <f>+P503</f>
        <v>82157414</v>
      </c>
      <c r="Q502" s="1712">
        <f t="shared" si="563"/>
        <v>79000000</v>
      </c>
      <c r="R502" s="1712">
        <f t="shared" si="563"/>
        <v>79000000</v>
      </c>
      <c r="S502" s="1712">
        <f t="shared" si="563"/>
        <v>79000000</v>
      </c>
      <c r="T502" s="1712">
        <f t="shared" si="563"/>
        <v>79000000</v>
      </c>
      <c r="U502" s="1713">
        <v>0</v>
      </c>
      <c r="V502" s="1713">
        <v>0</v>
      </c>
      <c r="W502" s="1713">
        <v>0</v>
      </c>
      <c r="X502" s="1714">
        <f t="shared" si="563"/>
        <v>398157414</v>
      </c>
      <c r="Y502" s="4035"/>
      <c r="Z502" s="1229">
        <f>+O502+P502+Q502+R502+158000000</f>
        <v>478829520</v>
      </c>
    </row>
    <row r="503" spans="1:26">
      <c r="A503" s="4032"/>
      <c r="B503" s="2303" t="s">
        <v>36</v>
      </c>
      <c r="C503" s="4048" t="s">
        <v>119</v>
      </c>
      <c r="D503" s="1781">
        <f>+D504+D505</f>
        <v>635852749</v>
      </c>
      <c r="E503" s="1715"/>
      <c r="F503" s="1715"/>
      <c r="G503" s="1715"/>
      <c r="H503" s="1715"/>
      <c r="I503" s="1715"/>
      <c r="J503" s="1715"/>
      <c r="K503" s="1715"/>
      <c r="L503" s="1715">
        <f t="shared" ref="L503:R503" si="564">+L504+L505</f>
        <v>77246948</v>
      </c>
      <c r="M503" s="1715">
        <f t="shared" ref="M503" si="565">+M504+M505</f>
        <v>157023229</v>
      </c>
      <c r="N503" s="1715">
        <f t="shared" si="564"/>
        <v>79776281</v>
      </c>
      <c r="O503" s="1781">
        <f>+O504+O505</f>
        <v>80672106</v>
      </c>
      <c r="P503" s="1781">
        <f>+P504+P505</f>
        <v>82157414</v>
      </c>
      <c r="Q503" s="1715">
        <f t="shared" si="564"/>
        <v>79000000</v>
      </c>
      <c r="R503" s="1715">
        <f t="shared" si="564"/>
        <v>79000000</v>
      </c>
      <c r="S503" s="1715">
        <f t="shared" ref="S503:T503" si="566">+S504+S505</f>
        <v>79000000</v>
      </c>
      <c r="T503" s="1715">
        <f t="shared" si="566"/>
        <v>79000000</v>
      </c>
      <c r="U503" s="1696">
        <v>0</v>
      </c>
      <c r="V503" s="1696">
        <v>0</v>
      </c>
      <c r="W503" s="1696">
        <v>0</v>
      </c>
      <c r="X503" s="1697">
        <f>+X504+X505</f>
        <v>398157414</v>
      </c>
      <c r="Y503" s="4035"/>
    </row>
    <row r="504" spans="1:26">
      <c r="A504" s="4032"/>
      <c r="B504" s="2304" t="s">
        <v>24</v>
      </c>
      <c r="C504" s="4049"/>
      <c r="D504" s="1783">
        <f t="shared" ref="D504:D505" si="567">M504+O504+P504+Q504+R504+S504+T504+U504+V504+W504</f>
        <v>631387771</v>
      </c>
      <c r="E504" s="1701"/>
      <c r="F504" s="1716"/>
      <c r="G504" s="1716"/>
      <c r="H504" s="1716"/>
      <c r="I504" s="1717"/>
      <c r="J504" s="1700"/>
      <c r="K504" s="1718"/>
      <c r="L504" s="1716">
        <f>77000000+700000-658679</f>
        <v>77041321</v>
      </c>
      <c r="M504" s="1702">
        <f>+E504+I504+J504+K504+L504+N504</f>
        <v>155607978</v>
      </c>
      <c r="N504" s="1716">
        <v>78566657</v>
      </c>
      <c r="O504" s="2282">
        <f>77000000+2000000+40000-19207</f>
        <v>79020793</v>
      </c>
      <c r="P504" s="1716">
        <v>80759000</v>
      </c>
      <c r="Q504" s="1716">
        <v>79000000</v>
      </c>
      <c r="R504" s="1716">
        <v>79000000</v>
      </c>
      <c r="S504" s="1716">
        <v>79000000</v>
      </c>
      <c r="T504" s="1716">
        <v>79000000</v>
      </c>
      <c r="U504" s="1719">
        <v>0</v>
      </c>
      <c r="V504" s="1719">
        <v>0</v>
      </c>
      <c r="W504" s="1719">
        <v>0</v>
      </c>
      <c r="X504" s="1704">
        <f>SUM(P504:T504)</f>
        <v>396759000</v>
      </c>
      <c r="Y504" s="4035"/>
    </row>
    <row r="505" spans="1:26">
      <c r="A505" s="4032"/>
      <c r="B505" s="2305" t="s">
        <v>27</v>
      </c>
      <c r="C505" s="1757"/>
      <c r="D505" s="1783">
        <f t="shared" si="567"/>
        <v>4464978</v>
      </c>
      <c r="E505" s="951"/>
      <c r="F505" s="1076"/>
      <c r="G505" s="1076"/>
      <c r="H505" s="1076"/>
      <c r="I505" s="1143"/>
      <c r="J505" s="1143"/>
      <c r="K505" s="1143"/>
      <c r="L505" s="1076">
        <f>220000-14373</f>
        <v>205627</v>
      </c>
      <c r="M505" s="1702">
        <f>+E505+I505+J505+K505+L505+N505</f>
        <v>1415251</v>
      </c>
      <c r="N505" s="1076">
        <v>1209624</v>
      </c>
      <c r="O505" s="1779">
        <f>1447218+230000-25905</f>
        <v>1651313</v>
      </c>
      <c r="P505" s="1779">
        <v>1398414</v>
      </c>
      <c r="Q505" s="1148">
        <v>0</v>
      </c>
      <c r="R505" s="1148">
        <v>0</v>
      </c>
      <c r="S505" s="1071">
        <v>0</v>
      </c>
      <c r="T505" s="1071">
        <v>0</v>
      </c>
      <c r="U505" s="1685">
        <v>0</v>
      </c>
      <c r="V505" s="1685">
        <v>0</v>
      </c>
      <c r="W505" s="1685">
        <v>0</v>
      </c>
      <c r="X505" s="1704">
        <f>SUM(P505:T505)</f>
        <v>1398414</v>
      </c>
      <c r="Y505" s="4035"/>
    </row>
    <row r="506" spans="1:26">
      <c r="A506" s="4032"/>
      <c r="B506" s="2302" t="s">
        <v>34</v>
      </c>
      <c r="C506" s="669"/>
      <c r="D506" s="1780">
        <f>+D507</f>
        <v>46558511</v>
      </c>
      <c r="E506" s="1712"/>
      <c r="F506" s="1712">
        <f t="shared" ref="F506:R506" si="568">+F507</f>
        <v>0</v>
      </c>
      <c r="G506" s="1712">
        <f t="shared" si="568"/>
        <v>0</v>
      </c>
      <c r="H506" s="1712">
        <f t="shared" si="568"/>
        <v>0</v>
      </c>
      <c r="I506" s="1712"/>
      <c r="J506" s="1712"/>
      <c r="K506" s="1712"/>
      <c r="L506" s="1712">
        <f t="shared" si="568"/>
        <v>205627</v>
      </c>
      <c r="M506" s="1712">
        <f t="shared" si="568"/>
        <v>1415251</v>
      </c>
      <c r="N506" s="1712">
        <f t="shared" si="568"/>
        <v>1209624</v>
      </c>
      <c r="O506" s="1780">
        <f t="shared" si="568"/>
        <v>12244846</v>
      </c>
      <c r="P506" s="1780">
        <f t="shared" si="568"/>
        <v>11898414</v>
      </c>
      <c r="Q506" s="1720">
        <f t="shared" si="568"/>
        <v>10500000</v>
      </c>
      <c r="R506" s="1720">
        <f t="shared" si="568"/>
        <v>10500000</v>
      </c>
      <c r="S506" s="1721">
        <v>0</v>
      </c>
      <c r="T506" s="1721">
        <v>0</v>
      </c>
      <c r="U506" s="1721">
        <v>0</v>
      </c>
      <c r="V506" s="1721">
        <v>0</v>
      </c>
      <c r="W506" s="1721">
        <v>0</v>
      </c>
      <c r="X506" s="4025" t="s">
        <v>35</v>
      </c>
      <c r="Y506" s="4035"/>
    </row>
    <row r="507" spans="1:26">
      <c r="A507" s="4032"/>
      <c r="B507" s="2303" t="s">
        <v>36</v>
      </c>
      <c r="C507" s="4048" t="s">
        <v>119</v>
      </c>
      <c r="D507" s="1781">
        <f>+D508+D509</f>
        <v>46558511</v>
      </c>
      <c r="E507" s="1715">
        <f t="shared" ref="E507:T507" si="569">+E508+E509</f>
        <v>0</v>
      </c>
      <c r="F507" s="1715">
        <f t="shared" si="569"/>
        <v>0</v>
      </c>
      <c r="G507" s="1715">
        <f t="shared" si="569"/>
        <v>0</v>
      </c>
      <c r="H507" s="1715">
        <f t="shared" si="569"/>
        <v>0</v>
      </c>
      <c r="I507" s="1715">
        <f t="shared" si="569"/>
        <v>0</v>
      </c>
      <c r="J507" s="1715">
        <f t="shared" si="569"/>
        <v>0</v>
      </c>
      <c r="K507" s="1715">
        <f t="shared" si="569"/>
        <v>0</v>
      </c>
      <c r="L507" s="1715">
        <f t="shared" si="569"/>
        <v>205627</v>
      </c>
      <c r="M507" s="1715">
        <f t="shared" si="569"/>
        <v>1415251</v>
      </c>
      <c r="N507" s="1715">
        <f t="shared" si="569"/>
        <v>1209624</v>
      </c>
      <c r="O507" s="1781">
        <f t="shared" si="569"/>
        <v>12244846</v>
      </c>
      <c r="P507" s="1781">
        <f t="shared" si="569"/>
        <v>11898414</v>
      </c>
      <c r="Q507" s="1715">
        <f t="shared" si="569"/>
        <v>10500000</v>
      </c>
      <c r="R507" s="1715">
        <f t="shared" si="569"/>
        <v>10500000</v>
      </c>
      <c r="S507" s="1696">
        <f t="shared" si="569"/>
        <v>0</v>
      </c>
      <c r="T507" s="1696">
        <f t="shared" si="569"/>
        <v>0</v>
      </c>
      <c r="U507" s="1696">
        <v>0</v>
      </c>
      <c r="V507" s="1696">
        <v>0</v>
      </c>
      <c r="W507" s="1696">
        <v>0</v>
      </c>
      <c r="X507" s="4026"/>
      <c r="Y507" s="4035"/>
    </row>
    <row r="508" spans="1:26">
      <c r="A508" s="4032"/>
      <c r="B508" s="2306" t="s">
        <v>391</v>
      </c>
      <c r="C508" s="4050"/>
      <c r="D508" s="1783">
        <f t="shared" ref="D508:D509" si="570">M508+O508+P508+Q508+R508+S508+T508+U508+V508+W508</f>
        <v>42093533</v>
      </c>
      <c r="E508" s="1722"/>
      <c r="F508" s="1722"/>
      <c r="G508" s="1722"/>
      <c r="H508" s="1722"/>
      <c r="I508" s="1722"/>
      <c r="J508" s="1722"/>
      <c r="K508" s="1722"/>
      <c r="L508" s="1722"/>
      <c r="M508" s="1702">
        <f>+E508+I508+J508+K508+L508+N508</f>
        <v>0</v>
      </c>
      <c r="N508" s="1722"/>
      <c r="O508" s="1806">
        <f>8500000+40000+1960000+93533</f>
        <v>10593533</v>
      </c>
      <c r="P508" s="1723">
        <v>10500000</v>
      </c>
      <c r="Q508" s="1723">
        <v>10500000</v>
      </c>
      <c r="R508" s="1723">
        <v>10500000</v>
      </c>
      <c r="S508" s="1724">
        <v>0</v>
      </c>
      <c r="T508" s="1724">
        <v>0</v>
      </c>
      <c r="U508" s="1724">
        <v>0</v>
      </c>
      <c r="V508" s="1724">
        <v>0</v>
      </c>
      <c r="W508" s="1724">
        <v>0</v>
      </c>
      <c r="X508" s="4026"/>
      <c r="Y508" s="4035"/>
    </row>
    <row r="509" spans="1:26" ht="12" customHeight="1" thickBot="1">
      <c r="A509" s="4033"/>
      <c r="B509" s="1786" t="s">
        <v>27</v>
      </c>
      <c r="C509" s="4038"/>
      <c r="D509" s="1785">
        <f t="shared" si="570"/>
        <v>4464978</v>
      </c>
      <c r="E509" s="498"/>
      <c r="F509" s="1145"/>
      <c r="G509" s="1145"/>
      <c r="H509" s="1145"/>
      <c r="I509" s="1146"/>
      <c r="J509" s="1146"/>
      <c r="K509" s="1146"/>
      <c r="L509" s="504">
        <f>220000-14373</f>
        <v>205627</v>
      </c>
      <c r="M509" s="1652">
        <f>+E509+I509+J509+K509+L509+N509</f>
        <v>1415251</v>
      </c>
      <c r="N509" s="504">
        <v>1209624</v>
      </c>
      <c r="O509" s="1784">
        <f>1447218+230000-25905</f>
        <v>1651313</v>
      </c>
      <c r="P509" s="1784">
        <v>1398414</v>
      </c>
      <c r="Q509" s="504">
        <v>0</v>
      </c>
      <c r="R509" s="504">
        <v>0</v>
      </c>
      <c r="S509" s="1484">
        <v>0</v>
      </c>
      <c r="T509" s="1484">
        <v>0</v>
      </c>
      <c r="U509" s="1484">
        <v>0</v>
      </c>
      <c r="V509" s="1484">
        <v>0</v>
      </c>
      <c r="W509" s="1484">
        <v>0</v>
      </c>
      <c r="X509" s="4027"/>
      <c r="Y509" s="4036"/>
    </row>
    <row r="510" spans="1:26" ht="13.5" hidden="1" thickBot="1">
      <c r="A510" s="4031"/>
      <c r="B510" s="704"/>
      <c r="C510" s="685" t="s">
        <v>131</v>
      </c>
      <c r="D510" s="705"/>
      <c r="E510" s="691"/>
      <c r="F510" s="706"/>
      <c r="G510" s="706"/>
      <c r="H510" s="691"/>
      <c r="I510" s="691"/>
      <c r="J510" s="691"/>
      <c r="K510" s="691"/>
      <c r="L510" s="691"/>
      <c r="M510" s="707"/>
      <c r="N510" s="707"/>
      <c r="O510" s="707"/>
      <c r="P510" s="707"/>
      <c r="Q510" s="707"/>
      <c r="R510" s="707"/>
      <c r="S510" s="707"/>
      <c r="T510" s="707"/>
      <c r="U510" s="707"/>
      <c r="V510" s="707"/>
      <c r="W510" s="707"/>
      <c r="X510" s="446"/>
      <c r="Y510" s="4034" t="s">
        <v>123</v>
      </c>
    </row>
    <row r="511" spans="1:26" ht="13.5" hidden="1" thickBot="1">
      <c r="A511" s="4032"/>
      <c r="B511" s="687" t="s">
        <v>22</v>
      </c>
      <c r="C511" s="669"/>
      <c r="D511" s="619">
        <f>+D512</f>
        <v>0</v>
      </c>
      <c r="E511" s="619"/>
      <c r="F511" s="619"/>
      <c r="G511" s="619"/>
      <c r="H511" s="619"/>
      <c r="I511" s="619"/>
      <c r="J511" s="619"/>
      <c r="K511" s="619"/>
      <c r="L511" s="619">
        <f t="shared" ref="L511:N512" si="571">+L512</f>
        <v>0</v>
      </c>
      <c r="M511" s="619">
        <f t="shared" si="571"/>
        <v>0</v>
      </c>
      <c r="N511" s="619">
        <f t="shared" si="571"/>
        <v>0</v>
      </c>
      <c r="O511" s="619"/>
      <c r="P511" s="619"/>
      <c r="Q511" s="619"/>
      <c r="R511" s="619"/>
      <c r="S511" s="619"/>
      <c r="T511" s="619"/>
      <c r="U511" s="1562"/>
      <c r="V511" s="1562"/>
      <c r="W511" s="1562"/>
      <c r="X511" s="548"/>
      <c r="Y511" s="4035"/>
      <c r="Z511" s="1229">
        <f>+O511+P511+Q511+R511</f>
        <v>0</v>
      </c>
    </row>
    <row r="512" spans="1:26" ht="13.5" hidden="1" thickBot="1">
      <c r="A512" s="4032"/>
      <c r="B512" s="688" t="s">
        <v>36</v>
      </c>
      <c r="C512" s="1410" t="s">
        <v>119</v>
      </c>
      <c r="D512" s="622">
        <f>+D513</f>
        <v>0</v>
      </c>
      <c r="E512" s="622"/>
      <c r="F512" s="622"/>
      <c r="G512" s="622"/>
      <c r="H512" s="622"/>
      <c r="I512" s="622"/>
      <c r="J512" s="622"/>
      <c r="K512" s="622"/>
      <c r="L512" s="622">
        <f t="shared" si="571"/>
        <v>0</v>
      </c>
      <c r="M512" s="622">
        <f t="shared" si="571"/>
        <v>0</v>
      </c>
      <c r="N512" s="622">
        <f t="shared" si="571"/>
        <v>0</v>
      </c>
      <c r="O512" s="622"/>
      <c r="P512" s="622"/>
      <c r="Q512" s="622"/>
      <c r="R512" s="622"/>
      <c r="S512" s="622"/>
      <c r="T512" s="622"/>
      <c r="U512" s="1561"/>
      <c r="V512" s="1561"/>
      <c r="W512" s="1561"/>
      <c r="X512" s="490"/>
      <c r="Y512" s="4035"/>
    </row>
    <row r="513" spans="1:26" ht="13.5" hidden="1" thickBot="1">
      <c r="A513" s="4032"/>
      <c r="B513" s="711" t="s">
        <v>24</v>
      </c>
      <c r="C513" s="1411"/>
      <c r="D513" s="473">
        <f>SUM(M513:T513)</f>
        <v>0</v>
      </c>
      <c r="E513" s="463"/>
      <c r="F513" s="537"/>
      <c r="G513" s="537"/>
      <c r="H513" s="537"/>
      <c r="I513" s="623"/>
      <c r="J513" s="501"/>
      <c r="K513" s="536"/>
      <c r="L513" s="537"/>
      <c r="M513" s="951">
        <f>L513+E513+I513+J513+K513</f>
        <v>0</v>
      </c>
      <c r="N513" s="537"/>
      <c r="O513" s="537"/>
      <c r="P513" s="537"/>
      <c r="Q513" s="537"/>
      <c r="R513" s="537"/>
      <c r="S513" s="537"/>
      <c r="T513" s="537"/>
      <c r="U513" s="1155"/>
      <c r="V513" s="1155"/>
      <c r="W513" s="1155"/>
      <c r="X513" s="493"/>
      <c r="Y513" s="4035"/>
    </row>
    <row r="514" spans="1:26" ht="14.25" customHeight="1">
      <c r="A514" s="4031" t="s">
        <v>110</v>
      </c>
      <c r="B514" s="704" t="s">
        <v>142</v>
      </c>
      <c r="C514" s="685" t="s">
        <v>131</v>
      </c>
      <c r="D514" s="443"/>
      <c r="E514" s="443"/>
      <c r="F514" s="444"/>
      <c r="G514" s="444"/>
      <c r="H514" s="443"/>
      <c r="I514" s="443"/>
      <c r="J514" s="443"/>
      <c r="K514" s="443"/>
      <c r="L514" s="443"/>
      <c r="M514" s="445"/>
      <c r="N514" s="445"/>
      <c r="O514" s="445"/>
      <c r="P514" s="445"/>
      <c r="Q514" s="445"/>
      <c r="R514" s="445"/>
      <c r="S514" s="445"/>
      <c r="T514" s="445"/>
      <c r="U514" s="445"/>
      <c r="V514" s="445"/>
      <c r="W514" s="445"/>
      <c r="X514" s="446"/>
      <c r="Y514" s="4034" t="s">
        <v>104</v>
      </c>
    </row>
    <row r="515" spans="1:26">
      <c r="A515" s="4032"/>
      <c r="B515" s="687" t="s">
        <v>22</v>
      </c>
      <c r="C515" s="669"/>
      <c r="D515" s="619">
        <f>+D516</f>
        <v>101282660</v>
      </c>
      <c r="E515" s="619"/>
      <c r="F515" s="619"/>
      <c r="G515" s="619"/>
      <c r="H515" s="619"/>
      <c r="I515" s="619"/>
      <c r="J515" s="619">
        <f t="shared" ref="J515:R515" si="572">+J516</f>
        <v>13756407</v>
      </c>
      <c r="K515" s="619">
        <f t="shared" si="572"/>
        <v>10539236</v>
      </c>
      <c r="L515" s="619">
        <f t="shared" si="572"/>
        <v>18766825</v>
      </c>
      <c r="M515" s="619">
        <f t="shared" si="572"/>
        <v>49581805</v>
      </c>
      <c r="N515" s="619">
        <f t="shared" si="572"/>
        <v>6519337</v>
      </c>
      <c r="O515" s="619">
        <f t="shared" si="572"/>
        <v>10000000</v>
      </c>
      <c r="P515" s="619">
        <f t="shared" si="572"/>
        <v>14400000</v>
      </c>
      <c r="Q515" s="619">
        <f t="shared" si="572"/>
        <v>14300855</v>
      </c>
      <c r="R515" s="619">
        <f t="shared" si="572"/>
        <v>13000000</v>
      </c>
      <c r="S515" s="1476">
        <v>0</v>
      </c>
      <c r="T515" s="1476">
        <v>0</v>
      </c>
      <c r="U515" s="1476">
        <v>0</v>
      </c>
      <c r="V515" s="1476">
        <v>0</v>
      </c>
      <c r="W515" s="1476">
        <v>0</v>
      </c>
      <c r="X515" s="487">
        <f>+X516</f>
        <v>41700855</v>
      </c>
      <c r="Y515" s="4035"/>
      <c r="Z515" s="1229">
        <f>+O515+P515+Q515+R515</f>
        <v>51700855</v>
      </c>
    </row>
    <row r="516" spans="1:26">
      <c r="A516" s="4032"/>
      <c r="B516" s="688" t="s">
        <v>36</v>
      </c>
      <c r="C516" s="4037" t="s">
        <v>101</v>
      </c>
      <c r="D516" s="622">
        <f>+D517+D518</f>
        <v>101282660</v>
      </c>
      <c r="E516" s="622">
        <f t="shared" ref="E516:R516" si="573">+E517+E518</f>
        <v>0</v>
      </c>
      <c r="F516" s="622">
        <f t="shared" si="573"/>
        <v>0</v>
      </c>
      <c r="G516" s="622">
        <f t="shared" si="573"/>
        <v>0</v>
      </c>
      <c r="H516" s="622">
        <f t="shared" si="573"/>
        <v>0</v>
      </c>
      <c r="I516" s="622">
        <f t="shared" si="573"/>
        <v>0</v>
      </c>
      <c r="J516" s="622">
        <f t="shared" si="573"/>
        <v>13756407</v>
      </c>
      <c r="K516" s="622">
        <f t="shared" si="573"/>
        <v>10539236</v>
      </c>
      <c r="L516" s="622">
        <f t="shared" si="573"/>
        <v>18766825</v>
      </c>
      <c r="M516" s="622">
        <f t="shared" si="573"/>
        <v>49581805</v>
      </c>
      <c r="N516" s="622">
        <f t="shared" si="573"/>
        <v>6519337</v>
      </c>
      <c r="O516" s="622">
        <f t="shared" si="573"/>
        <v>10000000</v>
      </c>
      <c r="P516" s="622">
        <f t="shared" si="573"/>
        <v>14400000</v>
      </c>
      <c r="Q516" s="622">
        <f t="shared" si="573"/>
        <v>14300855</v>
      </c>
      <c r="R516" s="622">
        <f t="shared" si="573"/>
        <v>13000000</v>
      </c>
      <c r="S516" s="1477">
        <v>0</v>
      </c>
      <c r="T516" s="1477">
        <v>0</v>
      </c>
      <c r="U516" s="1477">
        <v>0</v>
      </c>
      <c r="V516" s="1477">
        <v>0</v>
      </c>
      <c r="W516" s="1477">
        <v>0</v>
      </c>
      <c r="X516" s="509">
        <f>+X517+X518</f>
        <v>41700855</v>
      </c>
      <c r="Y516" s="4035"/>
    </row>
    <row r="517" spans="1:26">
      <c r="A517" s="4032"/>
      <c r="B517" s="1478" t="s">
        <v>24</v>
      </c>
      <c r="C517" s="4050"/>
      <c r="D517" s="456">
        <f t="shared" ref="D517:D518" si="574">M517+O517+P517+Q517+R517+S517+T517+U517+V517+W517</f>
        <v>94231660</v>
      </c>
      <c r="E517" s="461"/>
      <c r="F517" s="492"/>
      <c r="G517" s="492"/>
      <c r="H517" s="492"/>
      <c r="I517" s="1479"/>
      <c r="J517" s="494">
        <f>16277106-2520699</f>
        <v>13756407</v>
      </c>
      <c r="K517" s="1480">
        <f>10500000+40350-1114</f>
        <v>10539236</v>
      </c>
      <c r="L517" s="492">
        <f>13364000+3000000+120000+3000000-717175</f>
        <v>18766825</v>
      </c>
      <c r="M517" s="457">
        <f>+E517+I517+J517+K517+L517+N517</f>
        <v>49581805</v>
      </c>
      <c r="N517" s="494">
        <f>13738192-18000-6500000-700855</f>
        <v>6519337</v>
      </c>
      <c r="O517" s="494">
        <f>14122861+717175-2801143+961107-1000000-2000000-7051000</f>
        <v>2949000</v>
      </c>
      <c r="P517" s="494">
        <f>14518301-1518301+1400000</f>
        <v>14400000</v>
      </c>
      <c r="Q517" s="494">
        <f>15244216-2244216+1300855</f>
        <v>14300855</v>
      </c>
      <c r="R517" s="494">
        <f>11286227+1713773</f>
        <v>13000000</v>
      </c>
      <c r="S517" s="1481">
        <v>0</v>
      </c>
      <c r="T517" s="1481">
        <v>0</v>
      </c>
      <c r="U517" s="1481">
        <v>0</v>
      </c>
      <c r="V517" s="1481">
        <v>0</v>
      </c>
      <c r="W517" s="1481">
        <v>0</v>
      </c>
      <c r="X517" s="416">
        <f>SUM(P517:T517)</f>
        <v>41700855</v>
      </c>
      <c r="Y517" s="4035"/>
    </row>
    <row r="518" spans="1:26">
      <c r="A518" s="4032"/>
      <c r="B518" s="649" t="s">
        <v>128</v>
      </c>
      <c r="C518" s="4049"/>
      <c r="D518" s="456">
        <f t="shared" si="574"/>
        <v>7051000</v>
      </c>
      <c r="E518" s="463"/>
      <c r="F518" s="501"/>
      <c r="G518" s="501"/>
      <c r="H518" s="501"/>
      <c r="I518" s="501"/>
      <c r="J518" s="501"/>
      <c r="K518" s="539"/>
      <c r="L518" s="501"/>
      <c r="M518" s="1658">
        <f>+E518+I518+J518+K518+L518+N518</f>
        <v>0</v>
      </c>
      <c r="N518" s="1482">
        <v>0</v>
      </c>
      <c r="O518" s="501">
        <v>7051000</v>
      </c>
      <c r="P518" s="1482">
        <v>0</v>
      </c>
      <c r="Q518" s="1482">
        <v>0</v>
      </c>
      <c r="R518" s="1482">
        <v>0</v>
      </c>
      <c r="S518" s="1482">
        <v>0</v>
      </c>
      <c r="T518" s="1482">
        <v>0</v>
      </c>
      <c r="U518" s="1428">
        <v>0</v>
      </c>
      <c r="V518" s="1428">
        <v>0</v>
      </c>
      <c r="W518" s="1428">
        <v>0</v>
      </c>
      <c r="X518" s="416">
        <f>SUM(P518:T518)</f>
        <v>0</v>
      </c>
      <c r="Y518" s="4035"/>
    </row>
    <row r="519" spans="1:26">
      <c r="A519" s="4032"/>
      <c r="B519" s="512" t="s">
        <v>34</v>
      </c>
      <c r="C519" s="669"/>
      <c r="D519" s="619">
        <f>+D520</f>
        <v>7051000</v>
      </c>
      <c r="E519" s="619"/>
      <c r="F519" s="619"/>
      <c r="G519" s="619"/>
      <c r="H519" s="619"/>
      <c r="I519" s="619"/>
      <c r="J519" s="619"/>
      <c r="K519" s="619"/>
      <c r="L519" s="619"/>
      <c r="M519" s="1476">
        <v>0</v>
      </c>
      <c r="N519" s="1476">
        <v>0</v>
      </c>
      <c r="O519" s="619">
        <f>+O520</f>
        <v>7051000</v>
      </c>
      <c r="P519" s="1476">
        <v>0</v>
      </c>
      <c r="Q519" s="1476">
        <v>0</v>
      </c>
      <c r="R519" s="1476">
        <v>0</v>
      </c>
      <c r="S519" s="1476">
        <v>0</v>
      </c>
      <c r="T519" s="1476">
        <v>0</v>
      </c>
      <c r="U519" s="1476">
        <v>0</v>
      </c>
      <c r="V519" s="1476">
        <v>0</v>
      </c>
      <c r="W519" s="1476">
        <v>0</v>
      </c>
      <c r="X519" s="4028" t="s">
        <v>35</v>
      </c>
      <c r="Y519" s="4035"/>
    </row>
    <row r="520" spans="1:26">
      <c r="A520" s="4032"/>
      <c r="B520" s="533" t="s">
        <v>36</v>
      </c>
      <c r="C520" s="4037" t="s">
        <v>101</v>
      </c>
      <c r="D520" s="467">
        <f>+D521</f>
        <v>7051000</v>
      </c>
      <c r="E520" s="559"/>
      <c r="F520" s="488"/>
      <c r="G520" s="488"/>
      <c r="H520" s="558"/>
      <c r="I520" s="558"/>
      <c r="J520" s="558"/>
      <c r="K520" s="884"/>
      <c r="L520" s="558"/>
      <c r="M520" s="1072"/>
      <c r="N520" s="1437">
        <v>0</v>
      </c>
      <c r="O520" s="558">
        <f>+O521</f>
        <v>7051000</v>
      </c>
      <c r="P520" s="1437">
        <v>0</v>
      </c>
      <c r="Q520" s="1437">
        <v>0</v>
      </c>
      <c r="R520" s="1437">
        <v>0</v>
      </c>
      <c r="S520" s="1483">
        <v>0</v>
      </c>
      <c r="T520" s="1437">
        <v>0</v>
      </c>
      <c r="U520" s="1437">
        <v>0</v>
      </c>
      <c r="V520" s="1437">
        <v>0</v>
      </c>
      <c r="W520" s="1437">
        <v>0</v>
      </c>
      <c r="X520" s="4029"/>
      <c r="Y520" s="4035"/>
    </row>
    <row r="521" spans="1:26" ht="13.5" thickBot="1">
      <c r="A521" s="4033"/>
      <c r="B521" s="1545" t="s">
        <v>25</v>
      </c>
      <c r="C521" s="4038"/>
      <c r="D521" s="1652">
        <f t="shared" ref="D521" si="575">M521+O521+P521+Q521+R521+S521+T521+U521+V521+W521</f>
        <v>7051000</v>
      </c>
      <c r="E521" s="498"/>
      <c r="F521" s="1145"/>
      <c r="G521" s="1145"/>
      <c r="H521" s="504"/>
      <c r="I521" s="504"/>
      <c r="J521" s="504"/>
      <c r="K521" s="961"/>
      <c r="L521" s="504"/>
      <c r="M521" s="1659">
        <f>+E521+I521+J521+K521+L521+N521</f>
        <v>0</v>
      </c>
      <c r="N521" s="1484">
        <v>0</v>
      </c>
      <c r="O521" s="504">
        <v>7051000</v>
      </c>
      <c r="P521" s="1484">
        <v>0</v>
      </c>
      <c r="Q521" s="1484">
        <v>0</v>
      </c>
      <c r="R521" s="1484">
        <v>0</v>
      </c>
      <c r="S521" s="1485">
        <v>0</v>
      </c>
      <c r="T521" s="1484">
        <v>0</v>
      </c>
      <c r="U521" s="1484">
        <v>0</v>
      </c>
      <c r="V521" s="1484">
        <v>0</v>
      </c>
      <c r="W521" s="1484">
        <v>0</v>
      </c>
      <c r="X521" s="4030"/>
      <c r="Y521" s="4036"/>
    </row>
    <row r="522" spans="1:26" ht="13.5" customHeight="1">
      <c r="A522" s="4040" t="s">
        <v>111</v>
      </c>
      <c r="B522" s="1782" t="s">
        <v>143</v>
      </c>
      <c r="C522" s="2786" t="s">
        <v>131</v>
      </c>
      <c r="D522" s="2797"/>
      <c r="E522" s="2797"/>
      <c r="F522" s="2798"/>
      <c r="G522" s="2798"/>
      <c r="H522" s="2797"/>
      <c r="I522" s="2797"/>
      <c r="J522" s="2797"/>
      <c r="K522" s="2797"/>
      <c r="L522" s="2797"/>
      <c r="M522" s="2797"/>
      <c r="N522" s="2797"/>
      <c r="O522" s="2797"/>
      <c r="P522" s="2797"/>
      <c r="Q522" s="2797"/>
      <c r="R522" s="2797"/>
      <c r="S522" s="2287"/>
      <c r="T522" s="2287"/>
      <c r="U522" s="2287"/>
      <c r="V522" s="2287"/>
      <c r="W522" s="2287"/>
      <c r="X522" s="2396"/>
      <c r="Y522" s="4043" t="s">
        <v>104</v>
      </c>
    </row>
    <row r="523" spans="1:26">
      <c r="A523" s="4041"/>
      <c r="B523" s="2302" t="s">
        <v>22</v>
      </c>
      <c r="C523" s="2397"/>
      <c r="D523" s="2307">
        <f>+D524</f>
        <v>7858106</v>
      </c>
      <c r="E523" s="2307"/>
      <c r="F523" s="2307"/>
      <c r="G523" s="2307"/>
      <c r="H523" s="2307"/>
      <c r="I523" s="2307"/>
      <c r="J523" s="2307">
        <f t="shared" ref="J523:R523" si="576">+J524</f>
        <v>806409</v>
      </c>
      <c r="K523" s="2307">
        <f t="shared" si="576"/>
        <v>831715</v>
      </c>
      <c r="L523" s="2307">
        <f t="shared" si="576"/>
        <v>908119</v>
      </c>
      <c r="M523" s="2307">
        <f t="shared" si="576"/>
        <v>3481428</v>
      </c>
      <c r="N523" s="2307">
        <f t="shared" si="576"/>
        <v>935185</v>
      </c>
      <c r="O523" s="2307">
        <f t="shared" si="576"/>
        <v>1081746</v>
      </c>
      <c r="P523" s="2307">
        <f t="shared" si="576"/>
        <v>1091205</v>
      </c>
      <c r="Q523" s="2307">
        <f t="shared" si="576"/>
        <v>1097126</v>
      </c>
      <c r="R523" s="2307">
        <f t="shared" si="576"/>
        <v>1106601</v>
      </c>
      <c r="S523" s="2790">
        <v>0</v>
      </c>
      <c r="T523" s="2790">
        <v>0</v>
      </c>
      <c r="U523" s="2790">
        <v>0</v>
      </c>
      <c r="V523" s="2790">
        <v>0</v>
      </c>
      <c r="W523" s="2790">
        <v>0</v>
      </c>
      <c r="X523" s="1798">
        <f>+X524</f>
        <v>3294932</v>
      </c>
      <c r="Y523" s="4044"/>
      <c r="Z523" s="1229">
        <f>+O523+P523+Q523+R523</f>
        <v>4376678</v>
      </c>
    </row>
    <row r="524" spans="1:26">
      <c r="A524" s="4041"/>
      <c r="B524" s="2303" t="s">
        <v>36</v>
      </c>
      <c r="C524" s="4046" t="s">
        <v>101</v>
      </c>
      <c r="D524" s="2308">
        <f>+D525+D526</f>
        <v>7858106</v>
      </c>
      <c r="E524" s="2308">
        <f t="shared" ref="E524:R524" si="577">+E525+E526</f>
        <v>0</v>
      </c>
      <c r="F524" s="2308">
        <f t="shared" si="577"/>
        <v>0</v>
      </c>
      <c r="G524" s="2308">
        <f t="shared" si="577"/>
        <v>0</v>
      </c>
      <c r="H524" s="2308">
        <f t="shared" si="577"/>
        <v>0</v>
      </c>
      <c r="I524" s="2308">
        <f t="shared" si="577"/>
        <v>0</v>
      </c>
      <c r="J524" s="2308">
        <f t="shared" si="577"/>
        <v>806409</v>
      </c>
      <c r="K524" s="2308">
        <f t="shared" si="577"/>
        <v>831715</v>
      </c>
      <c r="L524" s="2308">
        <f t="shared" si="577"/>
        <v>908119</v>
      </c>
      <c r="M524" s="2308">
        <f t="shared" si="577"/>
        <v>3481428</v>
      </c>
      <c r="N524" s="2308">
        <f t="shared" si="577"/>
        <v>935185</v>
      </c>
      <c r="O524" s="2308">
        <f t="shared" si="577"/>
        <v>1081746</v>
      </c>
      <c r="P524" s="2308">
        <f t="shared" si="577"/>
        <v>1091205</v>
      </c>
      <c r="Q524" s="2308">
        <f t="shared" si="577"/>
        <v>1097126</v>
      </c>
      <c r="R524" s="2308">
        <f t="shared" si="577"/>
        <v>1106601</v>
      </c>
      <c r="S524" s="2294">
        <v>0</v>
      </c>
      <c r="T524" s="2294">
        <v>0</v>
      </c>
      <c r="U524" s="2842">
        <v>0</v>
      </c>
      <c r="V524" s="2842">
        <v>0</v>
      </c>
      <c r="W524" s="2842">
        <v>0</v>
      </c>
      <c r="X524" s="1815">
        <f>+X525+X526</f>
        <v>3294932</v>
      </c>
      <c r="Y524" s="4044"/>
    </row>
    <row r="525" spans="1:26">
      <c r="A525" s="4041"/>
      <c r="B525" s="2304" t="s">
        <v>24</v>
      </c>
      <c r="C525" s="4051"/>
      <c r="D525" s="1958">
        <f t="shared" ref="D525:D526" si="578">M525+O525+P525+Q525+R525+S525+T525+U525+V525+W525</f>
        <v>6797995</v>
      </c>
      <c r="E525" s="1820"/>
      <c r="F525" s="2828"/>
      <c r="G525" s="2828"/>
      <c r="H525" s="2828"/>
      <c r="I525" s="2843"/>
      <c r="J525" s="1371">
        <v>806409</v>
      </c>
      <c r="K525" s="2829">
        <f>846730-15015</f>
        <v>831715</v>
      </c>
      <c r="L525" s="2828">
        <f>889066+20000-947</f>
        <v>908119</v>
      </c>
      <c r="M525" s="1961">
        <f>+E525+I525+J525+K525+L525+N525</f>
        <v>3481428</v>
      </c>
      <c r="N525" s="1371">
        <f>933520+18000-16335</f>
        <v>935185</v>
      </c>
      <c r="O525" s="1371">
        <f>980196+947+110000-1064047-5461</f>
        <v>21635</v>
      </c>
      <c r="P525" s="1371">
        <f>1029205+62000</f>
        <v>1091205</v>
      </c>
      <c r="Q525" s="1371">
        <f>1080665+11000+5461</f>
        <v>1097126</v>
      </c>
      <c r="R525" s="1371">
        <f>1106601</f>
        <v>1106601</v>
      </c>
      <c r="S525" s="2294">
        <v>0</v>
      </c>
      <c r="T525" s="2294">
        <v>0</v>
      </c>
      <c r="U525" s="2842">
        <v>0</v>
      </c>
      <c r="V525" s="2842">
        <v>0</v>
      </c>
      <c r="W525" s="2842">
        <v>0</v>
      </c>
      <c r="X525" s="1963">
        <f>SUM(P525:T525)</f>
        <v>3294932</v>
      </c>
      <c r="Y525" s="4044"/>
    </row>
    <row r="526" spans="1:26">
      <c r="A526" s="4041"/>
      <c r="B526" s="2844" t="s">
        <v>128</v>
      </c>
      <c r="C526" s="4052"/>
      <c r="D526" s="1958">
        <f t="shared" si="578"/>
        <v>1060111</v>
      </c>
      <c r="E526" s="1820"/>
      <c r="F526" s="1371"/>
      <c r="G526" s="1371"/>
      <c r="H526" s="1371"/>
      <c r="I526" s="1371"/>
      <c r="J526" s="1371"/>
      <c r="K526" s="1960"/>
      <c r="L526" s="1371"/>
      <c r="M526" s="2297">
        <f>+E526+I526+J526+K526+L526+N526</f>
        <v>0</v>
      </c>
      <c r="N526" s="1371"/>
      <c r="O526" s="1371">
        <f>1064047-3936</f>
        <v>1060111</v>
      </c>
      <c r="P526" s="1371">
        <v>0</v>
      </c>
      <c r="Q526" s="1371">
        <v>0</v>
      </c>
      <c r="R526" s="1371">
        <v>0</v>
      </c>
      <c r="S526" s="2294">
        <v>0</v>
      </c>
      <c r="T526" s="2294">
        <v>0</v>
      </c>
      <c r="U526" s="2842">
        <v>0</v>
      </c>
      <c r="V526" s="2842">
        <v>0</v>
      </c>
      <c r="W526" s="2842">
        <v>0</v>
      </c>
      <c r="X526" s="1963">
        <f>SUM(P526:T526)</f>
        <v>0</v>
      </c>
      <c r="Y526" s="4044"/>
    </row>
    <row r="527" spans="1:26">
      <c r="A527" s="4041"/>
      <c r="B527" s="2275" t="s">
        <v>34</v>
      </c>
      <c r="C527" s="2397"/>
      <c r="D527" s="2307">
        <f>D528</f>
        <v>1060111</v>
      </c>
      <c r="E527" s="2307"/>
      <c r="F527" s="2307"/>
      <c r="G527" s="2307"/>
      <c r="H527" s="2307"/>
      <c r="I527" s="2307"/>
      <c r="J527" s="2307"/>
      <c r="K527" s="2307"/>
      <c r="L527" s="2307"/>
      <c r="M527" s="2790">
        <v>0</v>
      </c>
      <c r="N527" s="2790">
        <v>0</v>
      </c>
      <c r="O527" s="2307">
        <f>+O528</f>
        <v>1060111</v>
      </c>
      <c r="P527" s="2790">
        <v>0</v>
      </c>
      <c r="Q527" s="2790">
        <v>0</v>
      </c>
      <c r="R527" s="2790">
        <v>0</v>
      </c>
      <c r="S527" s="2790">
        <v>0</v>
      </c>
      <c r="T527" s="2790">
        <v>0</v>
      </c>
      <c r="U527" s="2790">
        <v>0</v>
      </c>
      <c r="V527" s="2790">
        <v>0</v>
      </c>
      <c r="W527" s="2790">
        <v>0</v>
      </c>
      <c r="X527" s="3999" t="s">
        <v>35</v>
      </c>
      <c r="Y527" s="4044"/>
    </row>
    <row r="528" spans="1:26">
      <c r="A528" s="4041"/>
      <c r="B528" s="1954" t="s">
        <v>36</v>
      </c>
      <c r="C528" s="4046" t="s">
        <v>101</v>
      </c>
      <c r="D528" s="2845">
        <f>+D529</f>
        <v>1060111</v>
      </c>
      <c r="E528" s="2802"/>
      <c r="F528" s="1955"/>
      <c r="G528" s="1955"/>
      <c r="H528" s="1368"/>
      <c r="I528" s="1368"/>
      <c r="J528" s="1368"/>
      <c r="K528" s="1352"/>
      <c r="L528" s="1368"/>
      <c r="M528" s="2846">
        <v>0</v>
      </c>
      <c r="N528" s="2847">
        <v>0</v>
      </c>
      <c r="O528" s="2848">
        <f>+O529</f>
        <v>1060111</v>
      </c>
      <c r="P528" s="2847">
        <v>0</v>
      </c>
      <c r="Q528" s="2847">
        <v>0</v>
      </c>
      <c r="R528" s="2847">
        <v>0</v>
      </c>
      <c r="S528" s="2847">
        <v>0</v>
      </c>
      <c r="T528" s="2804">
        <v>0</v>
      </c>
      <c r="U528" s="2804">
        <v>0</v>
      </c>
      <c r="V528" s="2804">
        <v>0</v>
      </c>
      <c r="W528" s="2804">
        <v>0</v>
      </c>
      <c r="X528" s="4000"/>
      <c r="Y528" s="4044"/>
    </row>
    <row r="529" spans="1:26" ht="13.5" thickBot="1">
      <c r="A529" s="4042"/>
      <c r="B529" s="2844" t="s">
        <v>25</v>
      </c>
      <c r="C529" s="4047"/>
      <c r="D529" s="1958">
        <f t="shared" ref="D529" si="579">M529+O529+P529+Q529+R529+S529+T529+U529+V529+W529</f>
        <v>1060111</v>
      </c>
      <c r="E529" s="1825"/>
      <c r="F529" s="2309"/>
      <c r="G529" s="2309"/>
      <c r="H529" s="1784"/>
      <c r="I529" s="1784"/>
      <c r="J529" s="1784"/>
      <c r="K529" s="2794"/>
      <c r="L529" s="1784"/>
      <c r="M529" s="2297">
        <f>+E529+I529+J529+K529+L529+N529</f>
        <v>0</v>
      </c>
      <c r="N529" s="2849">
        <v>0</v>
      </c>
      <c r="O529" s="2850">
        <f>1064047-3936</f>
        <v>1060111</v>
      </c>
      <c r="P529" s="2849">
        <v>0</v>
      </c>
      <c r="Q529" s="2849">
        <v>0</v>
      </c>
      <c r="R529" s="2849">
        <v>0</v>
      </c>
      <c r="S529" s="2849">
        <v>0</v>
      </c>
      <c r="T529" s="1840">
        <v>0</v>
      </c>
      <c r="U529" s="1840">
        <v>0</v>
      </c>
      <c r="V529" s="1840">
        <v>0</v>
      </c>
      <c r="W529" s="1840">
        <v>0</v>
      </c>
      <c r="X529" s="4001"/>
      <c r="Y529" s="4045"/>
    </row>
    <row r="530" spans="1:26" ht="14.25" customHeight="1">
      <c r="A530" s="4040" t="s">
        <v>112</v>
      </c>
      <c r="B530" s="1782" t="s">
        <v>144</v>
      </c>
      <c r="C530" s="2786" t="s">
        <v>98</v>
      </c>
      <c r="D530" s="2837"/>
      <c r="E530" s="2797"/>
      <c r="F530" s="2798"/>
      <c r="G530" s="2798"/>
      <c r="H530" s="2797"/>
      <c r="I530" s="2797"/>
      <c r="J530" s="2797"/>
      <c r="K530" s="2797"/>
      <c r="L530" s="2797"/>
      <c r="M530" s="2287"/>
      <c r="N530" s="2287"/>
      <c r="O530" s="2287"/>
      <c r="P530" s="2287"/>
      <c r="Q530" s="2287"/>
      <c r="R530" s="2287"/>
      <c r="S530" s="2287"/>
      <c r="T530" s="2287"/>
      <c r="U530" s="2287"/>
      <c r="V530" s="2287"/>
      <c r="W530" s="2287"/>
      <c r="X530" s="2396"/>
      <c r="Y530" s="4043" t="s">
        <v>104</v>
      </c>
    </row>
    <row r="531" spans="1:26">
      <c r="A531" s="4041"/>
      <c r="B531" s="2302" t="s">
        <v>22</v>
      </c>
      <c r="C531" s="2397"/>
      <c r="D531" s="2307">
        <f>+D532</f>
        <v>824971</v>
      </c>
      <c r="E531" s="2307"/>
      <c r="F531" s="2307"/>
      <c r="G531" s="2307"/>
      <c r="H531" s="2307"/>
      <c r="I531" s="2307"/>
      <c r="J531" s="2307"/>
      <c r="K531" s="2307"/>
      <c r="L531" s="2307">
        <f t="shared" ref="L531:R532" si="580">+L532</f>
        <v>128194</v>
      </c>
      <c r="M531" s="2307">
        <f t="shared" si="580"/>
        <v>275669</v>
      </c>
      <c r="N531" s="2307">
        <f t="shared" si="580"/>
        <v>147475</v>
      </c>
      <c r="O531" s="2307">
        <f t="shared" si="580"/>
        <v>65342</v>
      </c>
      <c r="P531" s="2307">
        <f t="shared" si="580"/>
        <v>150000</v>
      </c>
      <c r="Q531" s="2307">
        <f t="shared" si="580"/>
        <v>165000</v>
      </c>
      <c r="R531" s="2307">
        <f t="shared" si="580"/>
        <v>168960</v>
      </c>
      <c r="S531" s="2790">
        <v>0</v>
      </c>
      <c r="T531" s="2790">
        <v>0</v>
      </c>
      <c r="U531" s="2790">
        <v>0</v>
      </c>
      <c r="V531" s="2790">
        <v>0</v>
      </c>
      <c r="W531" s="2790">
        <v>0</v>
      </c>
      <c r="X531" s="1798">
        <f>+X532</f>
        <v>483960</v>
      </c>
      <c r="Y531" s="4044"/>
      <c r="Z531" s="1229">
        <f>+O531+P531+Q531+R531</f>
        <v>549302</v>
      </c>
    </row>
    <row r="532" spans="1:26">
      <c r="A532" s="4041"/>
      <c r="B532" s="2303" t="s">
        <v>36</v>
      </c>
      <c r="C532" s="4046" t="s">
        <v>101</v>
      </c>
      <c r="D532" s="2308">
        <f>+D533</f>
        <v>824971</v>
      </c>
      <c r="E532" s="2308"/>
      <c r="F532" s="2308"/>
      <c r="G532" s="2308"/>
      <c r="H532" s="2308"/>
      <c r="I532" s="2308"/>
      <c r="J532" s="2308"/>
      <c r="K532" s="2308"/>
      <c r="L532" s="2308">
        <f t="shared" si="580"/>
        <v>128194</v>
      </c>
      <c r="M532" s="2308">
        <f t="shared" si="580"/>
        <v>275669</v>
      </c>
      <c r="N532" s="2308">
        <f t="shared" si="580"/>
        <v>147475</v>
      </c>
      <c r="O532" s="2308">
        <f t="shared" si="580"/>
        <v>65342</v>
      </c>
      <c r="P532" s="2308">
        <f t="shared" si="580"/>
        <v>150000</v>
      </c>
      <c r="Q532" s="2308">
        <f t="shared" si="580"/>
        <v>165000</v>
      </c>
      <c r="R532" s="2308">
        <f t="shared" si="580"/>
        <v>168960</v>
      </c>
      <c r="S532" s="2792">
        <v>0</v>
      </c>
      <c r="T532" s="2792">
        <v>0</v>
      </c>
      <c r="U532" s="2792">
        <v>0</v>
      </c>
      <c r="V532" s="2792">
        <v>0</v>
      </c>
      <c r="W532" s="2792">
        <v>0</v>
      </c>
      <c r="X532" s="1815">
        <f>+X533</f>
        <v>483960</v>
      </c>
      <c r="Y532" s="4044"/>
    </row>
    <row r="533" spans="1:26" ht="13.5" thickBot="1">
      <c r="A533" s="4042"/>
      <c r="B533" s="2838" t="s">
        <v>24</v>
      </c>
      <c r="C533" s="4047"/>
      <c r="D533" s="1958">
        <f t="shared" ref="D533" si="581">M533+O533+P533+Q533+R533+S533+T533+U533+V533+W533</f>
        <v>824971</v>
      </c>
      <c r="E533" s="1825"/>
      <c r="F533" s="2309"/>
      <c r="G533" s="2309"/>
      <c r="H533" s="2309"/>
      <c r="I533" s="2839"/>
      <c r="J533" s="1784"/>
      <c r="K533" s="2840"/>
      <c r="L533" s="2309">
        <f>250000+80000-150160-51646</f>
        <v>128194</v>
      </c>
      <c r="M533" s="1961">
        <f>+E533+I533+J533+K533+L533+N533</f>
        <v>275669</v>
      </c>
      <c r="N533" s="2309">
        <f>150000+150160+51646-147600-5283-50000-1448</f>
        <v>147475</v>
      </c>
      <c r="O533" s="2309">
        <f>150000+147600-127600-104576-82</f>
        <v>65342</v>
      </c>
      <c r="P533" s="2309">
        <v>150000</v>
      </c>
      <c r="Q533" s="2309">
        <v>165000</v>
      </c>
      <c r="R533" s="2309">
        <f>168960</f>
        <v>168960</v>
      </c>
      <c r="S533" s="2841">
        <v>0</v>
      </c>
      <c r="T533" s="2841">
        <v>0</v>
      </c>
      <c r="U533" s="2795">
        <v>0</v>
      </c>
      <c r="V533" s="2795">
        <v>0</v>
      </c>
      <c r="W533" s="2795">
        <v>0</v>
      </c>
      <c r="X533" s="1963">
        <f>SUM(P533:W533)</f>
        <v>483960</v>
      </c>
      <c r="Y533" s="4045"/>
    </row>
    <row r="534" spans="1:26" ht="13.5" customHeight="1">
      <c r="A534" s="4031" t="s">
        <v>113</v>
      </c>
      <c r="B534" s="1782" t="s">
        <v>384</v>
      </c>
      <c r="C534" s="685" t="s">
        <v>131</v>
      </c>
      <c r="D534" s="624"/>
      <c r="E534" s="443"/>
      <c r="F534" s="444"/>
      <c r="G534" s="444"/>
      <c r="H534" s="443"/>
      <c r="I534" s="443"/>
      <c r="J534" s="443"/>
      <c r="K534" s="443"/>
      <c r="L534" s="443"/>
      <c r="M534" s="445"/>
      <c r="N534" s="445"/>
      <c r="O534" s="445"/>
      <c r="P534" s="445"/>
      <c r="Q534" s="445"/>
      <c r="R534" s="445"/>
      <c r="S534" s="445"/>
      <c r="T534" s="445"/>
      <c r="U534" s="445"/>
      <c r="V534" s="445"/>
      <c r="W534" s="445"/>
      <c r="X534" s="446"/>
      <c r="Y534" s="4034" t="s">
        <v>123</v>
      </c>
    </row>
    <row r="535" spans="1:26">
      <c r="A535" s="4032"/>
      <c r="B535" s="687" t="s">
        <v>22</v>
      </c>
      <c r="C535" s="669"/>
      <c r="D535" s="2307">
        <f>+D536</f>
        <v>737069</v>
      </c>
      <c r="E535" s="619"/>
      <c r="F535" s="619"/>
      <c r="G535" s="619"/>
      <c r="H535" s="619"/>
      <c r="I535" s="619"/>
      <c r="J535" s="619"/>
      <c r="K535" s="619"/>
      <c r="L535" s="619">
        <f t="shared" ref="L535:T536" si="582">+L536</f>
        <v>0</v>
      </c>
      <c r="M535" s="1476">
        <f t="shared" si="582"/>
        <v>0</v>
      </c>
      <c r="N535" s="619">
        <f t="shared" si="582"/>
        <v>0</v>
      </c>
      <c r="O535" s="2307">
        <f t="shared" si="582"/>
        <v>62069</v>
      </c>
      <c r="P535" s="619">
        <f t="shared" si="582"/>
        <v>135000</v>
      </c>
      <c r="Q535" s="619">
        <f t="shared" si="582"/>
        <v>135000</v>
      </c>
      <c r="R535" s="619">
        <f t="shared" si="582"/>
        <v>135000</v>
      </c>
      <c r="S535" s="619">
        <f t="shared" si="582"/>
        <v>135000</v>
      </c>
      <c r="T535" s="619">
        <f t="shared" si="582"/>
        <v>135000</v>
      </c>
      <c r="U535" s="1476">
        <v>0</v>
      </c>
      <c r="V535" s="1476">
        <v>0</v>
      </c>
      <c r="W535" s="1476">
        <v>0</v>
      </c>
      <c r="X535" s="487">
        <f>+X536</f>
        <v>675000</v>
      </c>
      <c r="Y535" s="4035"/>
      <c r="Z535" s="1229">
        <f>+O535+P535+Q535+R535</f>
        <v>467069</v>
      </c>
    </row>
    <row r="536" spans="1:26">
      <c r="A536" s="4032"/>
      <c r="B536" s="688" t="s">
        <v>36</v>
      </c>
      <c r="C536" s="4037" t="s">
        <v>101</v>
      </c>
      <c r="D536" s="2308">
        <f>+D537</f>
        <v>737069</v>
      </c>
      <c r="E536" s="622"/>
      <c r="F536" s="622"/>
      <c r="G536" s="622"/>
      <c r="H536" s="622"/>
      <c r="I536" s="622"/>
      <c r="J536" s="622"/>
      <c r="K536" s="622"/>
      <c r="L536" s="622">
        <f t="shared" si="582"/>
        <v>0</v>
      </c>
      <c r="M536" s="1477">
        <f t="shared" si="582"/>
        <v>0</v>
      </c>
      <c r="N536" s="622">
        <f t="shared" si="582"/>
        <v>0</v>
      </c>
      <c r="O536" s="2308">
        <f t="shared" si="582"/>
        <v>62069</v>
      </c>
      <c r="P536" s="622">
        <f t="shared" si="582"/>
        <v>135000</v>
      </c>
      <c r="Q536" s="622">
        <f t="shared" si="582"/>
        <v>135000</v>
      </c>
      <c r="R536" s="622">
        <f t="shared" si="582"/>
        <v>135000</v>
      </c>
      <c r="S536" s="622">
        <f t="shared" si="582"/>
        <v>135000</v>
      </c>
      <c r="T536" s="622">
        <f t="shared" si="582"/>
        <v>135000</v>
      </c>
      <c r="U536" s="1477">
        <v>0</v>
      </c>
      <c r="V536" s="1477">
        <v>0</v>
      </c>
      <c r="W536" s="1477">
        <v>0</v>
      </c>
      <c r="X536" s="509">
        <f>+X537</f>
        <v>675000</v>
      </c>
      <c r="Y536" s="4035"/>
    </row>
    <row r="537" spans="1:26" ht="13.5" thickBot="1">
      <c r="A537" s="4033"/>
      <c r="B537" s="708" t="s">
        <v>24</v>
      </c>
      <c r="C537" s="4038"/>
      <c r="D537" s="1785">
        <f t="shared" ref="D537" si="583">M537+O537+P537+Q537+R537+S537+T537+U537+V537+W537</f>
        <v>737069</v>
      </c>
      <c r="E537" s="498"/>
      <c r="F537" s="1145"/>
      <c r="G537" s="1145"/>
      <c r="H537" s="1145"/>
      <c r="I537" s="1147"/>
      <c r="J537" s="504"/>
      <c r="K537" s="1146"/>
      <c r="L537" s="1145">
        <v>0</v>
      </c>
      <c r="M537" s="1659">
        <f>+E537+I537+J537+K537+L537+N537</f>
        <v>0</v>
      </c>
      <c r="N537" s="1145">
        <v>0</v>
      </c>
      <c r="O537" s="2309">
        <f>120000-51166-6765</f>
        <v>62069</v>
      </c>
      <c r="P537" s="1145">
        <v>135000</v>
      </c>
      <c r="Q537" s="1145">
        <v>135000</v>
      </c>
      <c r="R537" s="1145">
        <v>135000</v>
      </c>
      <c r="S537" s="1145">
        <v>135000</v>
      </c>
      <c r="T537" s="1145">
        <v>135000</v>
      </c>
      <c r="U537" s="1683">
        <v>0</v>
      </c>
      <c r="V537" s="1683">
        <v>0</v>
      </c>
      <c r="W537" s="1683">
        <v>0</v>
      </c>
      <c r="X537" s="949">
        <f>SUM(P537:T537)</f>
        <v>675000</v>
      </c>
      <c r="Y537" s="4036"/>
    </row>
    <row r="538" spans="1:26">
      <c r="A538" s="1029"/>
      <c r="B538" s="714"/>
      <c r="C538" s="1055"/>
      <c r="D538" s="715"/>
      <c r="E538" s="716"/>
      <c r="F538" s="716"/>
      <c r="G538" s="716"/>
      <c r="H538" s="716"/>
      <c r="I538" s="716"/>
      <c r="J538" s="716"/>
      <c r="K538" s="716"/>
      <c r="L538" s="717"/>
      <c r="M538" s="717"/>
      <c r="N538" s="717"/>
      <c r="O538" s="717"/>
      <c r="P538" s="717"/>
      <c r="Q538" s="717"/>
      <c r="R538" s="716"/>
      <c r="S538" s="716"/>
      <c r="T538" s="716"/>
      <c r="U538" s="716"/>
      <c r="V538" s="716"/>
      <c r="W538" s="716"/>
      <c r="X538" s="718"/>
      <c r="Y538" s="719"/>
    </row>
    <row r="539" spans="1:26" s="1066" customFormat="1">
      <c r="A539" s="4039"/>
      <c r="B539" s="4039"/>
      <c r="C539" s="4039"/>
      <c r="D539" s="4039"/>
      <c r="E539" s="4039"/>
      <c r="F539" s="4039"/>
      <c r="G539" s="4039"/>
      <c r="H539" s="4039"/>
      <c r="I539" s="4039"/>
      <c r="J539" s="4039"/>
      <c r="K539" s="4039"/>
      <c r="L539" s="4039"/>
      <c r="M539" s="4039"/>
      <c r="N539" s="4039"/>
      <c r="O539" s="4039"/>
      <c r="P539" s="4039"/>
      <c r="Q539" s="4039"/>
      <c r="R539" s="4039"/>
      <c r="S539" s="4039"/>
      <c r="T539" s="4039"/>
      <c r="U539" s="4039"/>
      <c r="V539" s="4039"/>
      <c r="W539" s="4039"/>
      <c r="X539" s="4039"/>
      <c r="Y539" s="4039"/>
    </row>
    <row r="540" spans="1:26" s="1066" customFormat="1">
      <c r="A540" s="4039"/>
      <c r="B540" s="4039"/>
      <c r="C540" s="4039"/>
      <c r="D540" s="4039"/>
      <c r="E540" s="4039"/>
      <c r="F540" s="4039"/>
      <c r="G540" s="4039"/>
      <c r="H540" s="4039"/>
      <c r="I540" s="4039"/>
      <c r="J540" s="4039"/>
      <c r="K540" s="4039"/>
      <c r="L540" s="4039"/>
      <c r="M540" s="4039"/>
      <c r="N540" s="4039"/>
      <c r="O540" s="4039"/>
      <c r="P540" s="4039"/>
      <c r="Q540" s="4039"/>
      <c r="R540" s="4039"/>
      <c r="S540" s="4039"/>
      <c r="T540" s="4039"/>
      <c r="U540" s="4039"/>
      <c r="V540" s="4039"/>
      <c r="W540" s="4039"/>
      <c r="X540" s="4039"/>
      <c r="Y540" s="4039"/>
    </row>
    <row r="541" spans="1:26">
      <c r="B541" s="1769" t="s">
        <v>452</v>
      </c>
      <c r="E541" s="1056"/>
      <c r="J541" s="1056"/>
    </row>
    <row r="542" spans="1:26">
      <c r="B542" s="1028" t="s">
        <v>611</v>
      </c>
      <c r="C542" s="1028"/>
      <c r="D542" s="1028"/>
      <c r="E542" s="1067"/>
      <c r="F542" s="1028"/>
      <c r="G542" s="1028"/>
      <c r="H542" s="1028"/>
      <c r="I542" s="1028"/>
      <c r="J542" s="1028"/>
      <c r="K542" s="1028"/>
      <c r="L542" s="1028"/>
      <c r="M542" s="1028"/>
      <c r="N542" s="1028"/>
      <c r="O542" s="1417">
        <f>O237+O246+O262+O274+O286+O352</f>
        <v>0</v>
      </c>
      <c r="P542" s="1418">
        <f>P237+P246+P262+P274+P286+P352+P324+P310</f>
        <v>64885010</v>
      </c>
      <c r="Q542" s="1418">
        <f>Q237+Q246+Q262+Q274+Q286+Q352+Q324+Q310</f>
        <v>165890762</v>
      </c>
      <c r="R542" s="1418">
        <f>R237+R246+R262+R274+R286+R352+R324+R310</f>
        <v>96900000</v>
      </c>
      <c r="S542" s="1418">
        <f>S237+S246+S262+S274+S286+S352+S324+S310</f>
        <v>0</v>
      </c>
      <c r="T542" s="1418">
        <f>T237+T246+T262+T274+T286+T352+T324+T310</f>
        <v>0</v>
      </c>
      <c r="U542" s="1768"/>
      <c r="V542" s="1768"/>
      <c r="W542" s="1768"/>
      <c r="X542" s="1768"/>
    </row>
    <row r="543" spans="1:26">
      <c r="B543" s="1028" t="s">
        <v>530</v>
      </c>
      <c r="C543" s="1028"/>
      <c r="D543" s="1028"/>
      <c r="E543" s="1067"/>
      <c r="F543" s="1028"/>
      <c r="G543" s="1028"/>
      <c r="H543" s="1028"/>
      <c r="I543" s="1028"/>
      <c r="J543" s="1067"/>
      <c r="K543" s="1028"/>
      <c r="L543" s="1028"/>
      <c r="M543" s="1028"/>
      <c r="N543" s="1028"/>
      <c r="O543" s="1418"/>
      <c r="P543" s="1418">
        <f>P349+P281+P269+P255+P243+P230+P318+P310</f>
        <v>59344224</v>
      </c>
      <c r="Q543" s="1418">
        <f>Q349+Q281+Q269+Q255+Q243+Q230+Q318+Q310</f>
        <v>156390672</v>
      </c>
      <c r="R543" s="1418">
        <f>R349+R281+R269+R255+R243+R230+R318+R310</f>
        <v>96900000</v>
      </c>
      <c r="S543" s="1418">
        <f>S349+S281+S269+S255+S243+S230+S318+S310</f>
        <v>0</v>
      </c>
      <c r="T543" s="1418">
        <f>T349+T281+T269+T255+T243+T230+T318+T310</f>
        <v>0</v>
      </c>
      <c r="U543" s="1768"/>
      <c r="V543" s="1768"/>
      <c r="W543" s="1768"/>
      <c r="X543" s="1768"/>
    </row>
    <row r="545" spans="2:24">
      <c r="B545" s="1769" t="s">
        <v>453</v>
      </c>
      <c r="E545" s="1056"/>
      <c r="J545" s="1056"/>
    </row>
    <row r="546" spans="2:24">
      <c r="B546" s="1028" t="s">
        <v>454</v>
      </c>
      <c r="C546" s="1028"/>
      <c r="D546" s="1028"/>
      <c r="E546" s="1067"/>
      <c r="F546" s="1028"/>
      <c r="G546" s="1028"/>
      <c r="H546" s="1028"/>
      <c r="I546" s="1028"/>
      <c r="J546" s="1067"/>
      <c r="K546" s="1028"/>
      <c r="L546" s="1028"/>
      <c r="M546" s="1028"/>
      <c r="N546" s="1028"/>
      <c r="O546" s="1418"/>
      <c r="P546" s="1418">
        <f>P347+P278+P266+P250+P241+P226+P301+P313</f>
        <v>21123473</v>
      </c>
      <c r="Q546" s="1418">
        <f>Q347+Q278+Q266+Q250+Q241+Q226+Q301+Q313</f>
        <v>28858354</v>
      </c>
      <c r="R546" s="1418">
        <f>R347+R278+R266+R250+R241+R226+R301+R313</f>
        <v>22084499</v>
      </c>
      <c r="S546" s="1418">
        <f>S347+S278+S266+S250+S241+S226+S301+S313</f>
        <v>0</v>
      </c>
      <c r="T546" s="1418">
        <f>T347+T278+T266+T250+T241+T226+T301+T313</f>
        <v>0</v>
      </c>
      <c r="U546" s="1768"/>
      <c r="V546" s="1768"/>
      <c r="W546" s="1768"/>
      <c r="X546" s="1768"/>
    </row>
  </sheetData>
  <mergeCells count="249">
    <mergeCell ref="A67:A80"/>
    <mergeCell ref="Y68:Y74"/>
    <mergeCell ref="C69:C74"/>
    <mergeCell ref="Y75:Y80"/>
    <mergeCell ref="C76:C80"/>
    <mergeCell ref="A4:Y4"/>
    <mergeCell ref="C5:C7"/>
    <mergeCell ref="D5:D7"/>
    <mergeCell ref="Y5:Y7"/>
    <mergeCell ref="Y54:Y60"/>
    <mergeCell ref="C55:C58"/>
    <mergeCell ref="A53:A66"/>
    <mergeCell ref="Y61:Y66"/>
    <mergeCell ref="C62:C66"/>
    <mergeCell ref="A9:A34"/>
    <mergeCell ref="X5:X7"/>
    <mergeCell ref="X23:X34"/>
    <mergeCell ref="M5:M6"/>
    <mergeCell ref="O5:O6"/>
    <mergeCell ref="P5:W6"/>
    <mergeCell ref="A81:A96"/>
    <mergeCell ref="Y82:Y89"/>
    <mergeCell ref="C83:C89"/>
    <mergeCell ref="Y90:Y96"/>
    <mergeCell ref="C91:C96"/>
    <mergeCell ref="Y98:Y104"/>
    <mergeCell ref="C99:C104"/>
    <mergeCell ref="A111:A122"/>
    <mergeCell ref="Y105:Y110"/>
    <mergeCell ref="C106:C110"/>
    <mergeCell ref="Y112:Y117"/>
    <mergeCell ref="Y118:Y122"/>
    <mergeCell ref="C119:C122"/>
    <mergeCell ref="C113:C116"/>
    <mergeCell ref="A97:A110"/>
    <mergeCell ref="Y231:Y237"/>
    <mergeCell ref="C232:C237"/>
    <mergeCell ref="A247:A262"/>
    <mergeCell ref="Y248:Y255"/>
    <mergeCell ref="C249:C255"/>
    <mergeCell ref="Y256:Y262"/>
    <mergeCell ref="C257:C262"/>
    <mergeCell ref="A223:A237"/>
    <mergeCell ref="Y224:Y230"/>
    <mergeCell ref="C225:C230"/>
    <mergeCell ref="A238:A246"/>
    <mergeCell ref="C130:C131"/>
    <mergeCell ref="A132:A143"/>
    <mergeCell ref="Y132:Y143"/>
    <mergeCell ref="C134:C138"/>
    <mergeCell ref="A123:A131"/>
    <mergeCell ref="Y124:Y128"/>
    <mergeCell ref="C125:C128"/>
    <mergeCell ref="Y282:Y286"/>
    <mergeCell ref="Y275:Y281"/>
    <mergeCell ref="A263:A274"/>
    <mergeCell ref="C265:C269"/>
    <mergeCell ref="C271:C274"/>
    <mergeCell ref="A144:A155"/>
    <mergeCell ref="Y145:Y150"/>
    <mergeCell ref="C146:C150"/>
    <mergeCell ref="Y270:Y274"/>
    <mergeCell ref="Y129:Y131"/>
    <mergeCell ref="Y264:Y269"/>
    <mergeCell ref="Y151:Y155"/>
    <mergeCell ref="C152:C155"/>
    <mergeCell ref="Y239:Y243"/>
    <mergeCell ref="C240:C243"/>
    <mergeCell ref="A275:A286"/>
    <mergeCell ref="C277:C281"/>
    <mergeCell ref="C283:C286"/>
    <mergeCell ref="A213:A221"/>
    <mergeCell ref="Y213:Y221"/>
    <mergeCell ref="C215:C218"/>
    <mergeCell ref="C220:C221"/>
    <mergeCell ref="A206:A212"/>
    <mergeCell ref="C140:C143"/>
    <mergeCell ref="C320:C324"/>
    <mergeCell ref="A311:A324"/>
    <mergeCell ref="C313:C318"/>
    <mergeCell ref="A167:A175"/>
    <mergeCell ref="Y168:Y172"/>
    <mergeCell ref="A197:A205"/>
    <mergeCell ref="A188:A196"/>
    <mergeCell ref="Y189:Y193"/>
    <mergeCell ref="C190:C193"/>
    <mergeCell ref="Y194:Y196"/>
    <mergeCell ref="C195:C196"/>
    <mergeCell ref="A176:A187"/>
    <mergeCell ref="Y177:Y182"/>
    <mergeCell ref="C178:C182"/>
    <mergeCell ref="Y183:Y187"/>
    <mergeCell ref="C184:C187"/>
    <mergeCell ref="X183:X187"/>
    <mergeCell ref="Y198:Y202"/>
    <mergeCell ref="C199:C202"/>
    <mergeCell ref="Y203:Y205"/>
    <mergeCell ref="C204:C205"/>
    <mergeCell ref="C169:C172"/>
    <mergeCell ref="Y173:Y175"/>
    <mergeCell ref="C174:C175"/>
    <mergeCell ref="A156:A166"/>
    <mergeCell ref="Y157:Y161"/>
    <mergeCell ref="C158:C161"/>
    <mergeCell ref="Y162:Y166"/>
    <mergeCell ref="C163:C164"/>
    <mergeCell ref="C165:C166"/>
    <mergeCell ref="Y206:Y212"/>
    <mergeCell ref="C208:C209"/>
    <mergeCell ref="C211:C212"/>
    <mergeCell ref="X203:X205"/>
    <mergeCell ref="A325:A333"/>
    <mergeCell ref="Y325:Y330"/>
    <mergeCell ref="A334:A342"/>
    <mergeCell ref="Y334:Y339"/>
    <mergeCell ref="C336:C339"/>
    <mergeCell ref="Y340:Y342"/>
    <mergeCell ref="C341:C342"/>
    <mergeCell ref="A287:A298"/>
    <mergeCell ref="C289:C293"/>
    <mergeCell ref="Y287:Y298"/>
    <mergeCell ref="X294:X298"/>
    <mergeCell ref="C295:C298"/>
    <mergeCell ref="Y311:Y324"/>
    <mergeCell ref="Y299:Y310"/>
    <mergeCell ref="X306:X310"/>
    <mergeCell ref="A299:A310"/>
    <mergeCell ref="C301:C305"/>
    <mergeCell ref="C309:C310"/>
    <mergeCell ref="Y244:Y246"/>
    <mergeCell ref="C245:C246"/>
    <mergeCell ref="A344:A352"/>
    <mergeCell ref="Y344:Y349"/>
    <mergeCell ref="C346:C349"/>
    <mergeCell ref="Y350:Y352"/>
    <mergeCell ref="C351:C352"/>
    <mergeCell ref="A402:A410"/>
    <mergeCell ref="Y402:Y410"/>
    <mergeCell ref="C404:C407"/>
    <mergeCell ref="C409:C410"/>
    <mergeCell ref="A368:A383"/>
    <mergeCell ref="Y368:Y382"/>
    <mergeCell ref="A384:A401"/>
    <mergeCell ref="Y384:Y400"/>
    <mergeCell ref="C386:C389"/>
    <mergeCell ref="C394:C401"/>
    <mergeCell ref="X377:X383"/>
    <mergeCell ref="X393:X401"/>
    <mergeCell ref="X408:X410"/>
    <mergeCell ref="C355:C361"/>
    <mergeCell ref="X365:X367"/>
    <mergeCell ref="C366:C367"/>
    <mergeCell ref="Y353:Y367"/>
    <mergeCell ref="A430:A441"/>
    <mergeCell ref="Y435:Y444"/>
    <mergeCell ref="A445:A448"/>
    <mergeCell ref="Y445:Y448"/>
    <mergeCell ref="C447:C448"/>
    <mergeCell ref="A411:A419"/>
    <mergeCell ref="Y411:Y419"/>
    <mergeCell ref="A420:A428"/>
    <mergeCell ref="Y420:Y428"/>
    <mergeCell ref="C422:C425"/>
    <mergeCell ref="C427:C428"/>
    <mergeCell ref="X417:X419"/>
    <mergeCell ref="X426:X428"/>
    <mergeCell ref="X439:X444"/>
    <mergeCell ref="A461:A464"/>
    <mergeCell ref="Y461:Y464"/>
    <mergeCell ref="C463:C464"/>
    <mergeCell ref="A465:A468"/>
    <mergeCell ref="Y465:Y468"/>
    <mergeCell ref="C467:C468"/>
    <mergeCell ref="A449:A452"/>
    <mergeCell ref="Y449:Y452"/>
    <mergeCell ref="C451:C452"/>
    <mergeCell ref="A453:A460"/>
    <mergeCell ref="Y453:Y460"/>
    <mergeCell ref="C455:C457"/>
    <mergeCell ref="C459:C460"/>
    <mergeCell ref="X458:X460"/>
    <mergeCell ref="Y510:Y513"/>
    <mergeCell ref="C516:C518"/>
    <mergeCell ref="C524:C526"/>
    <mergeCell ref="A514:A521"/>
    <mergeCell ref="A469:A472"/>
    <mergeCell ref="Y469:Y472"/>
    <mergeCell ref="C471:C472"/>
    <mergeCell ref="A473:A480"/>
    <mergeCell ref="Y473:Y476"/>
    <mergeCell ref="C475:C477"/>
    <mergeCell ref="Y478:Y480"/>
    <mergeCell ref="C479:C480"/>
    <mergeCell ref="A481:A484"/>
    <mergeCell ref="Y481:Y484"/>
    <mergeCell ref="C483:C484"/>
    <mergeCell ref="A485:A492"/>
    <mergeCell ref="Y485:Y488"/>
    <mergeCell ref="C487:C489"/>
    <mergeCell ref="Y490:Y492"/>
    <mergeCell ref="C491:C492"/>
    <mergeCell ref="A534:A537"/>
    <mergeCell ref="Y534:Y537"/>
    <mergeCell ref="C536:C537"/>
    <mergeCell ref="A539:Y539"/>
    <mergeCell ref="A540:Y540"/>
    <mergeCell ref="A530:A533"/>
    <mergeCell ref="Y530:Y533"/>
    <mergeCell ref="C532:C533"/>
    <mergeCell ref="A493:A496"/>
    <mergeCell ref="Y493:Y496"/>
    <mergeCell ref="C495:C496"/>
    <mergeCell ref="A522:A529"/>
    <mergeCell ref="Y522:Y529"/>
    <mergeCell ref="Y514:Y521"/>
    <mergeCell ref="C528:C529"/>
    <mergeCell ref="C520:C521"/>
    <mergeCell ref="A497:A500"/>
    <mergeCell ref="Y497:Y500"/>
    <mergeCell ref="C499:C500"/>
    <mergeCell ref="A501:A509"/>
    <mergeCell ref="Y501:Y509"/>
    <mergeCell ref="C503:C504"/>
    <mergeCell ref="C507:C509"/>
    <mergeCell ref="A510:A513"/>
    <mergeCell ref="X527:X529"/>
    <mergeCell ref="X270:X274"/>
    <mergeCell ref="X282:X286"/>
    <mergeCell ref="X331:X333"/>
    <mergeCell ref="X340:X342"/>
    <mergeCell ref="X350:X352"/>
    <mergeCell ref="X478:X480"/>
    <mergeCell ref="X490:X492"/>
    <mergeCell ref="X61:X66"/>
    <mergeCell ref="X90:X95"/>
    <mergeCell ref="X105:X110"/>
    <mergeCell ref="X118:X122"/>
    <mergeCell ref="X129:X131"/>
    <mergeCell ref="X151:X155"/>
    <mergeCell ref="X162:X166"/>
    <mergeCell ref="X173:X175"/>
    <mergeCell ref="X210:X212"/>
    <mergeCell ref="X219:X221"/>
    <mergeCell ref="X231:X237"/>
    <mergeCell ref="X244:X246"/>
    <mergeCell ref="X256:X262"/>
    <mergeCell ref="X506:X509"/>
    <mergeCell ref="X519:X521"/>
    <mergeCell ref="X194:X196"/>
  </mergeCells>
  <printOptions horizontalCentered="1"/>
  <pageMargins left="3.937007874015748E-2" right="7.874015748031496E-2" top="0.47244094488188981" bottom="0.31496062992125984" header="0.15748031496062992" footer="0.15748031496062992"/>
  <pageSetup paperSize="9" scale="70" firstPageNumber="31" orientation="landscape" useFirstPageNumber="1" r:id="rId1"/>
  <headerFooter alignWithMargins="0">
    <oddHeader>&amp;C&amp;"Arial,Kursywa"Wieloletnia prognoza finansowa  Województwa Zachodniopomorskiego na lata 2016 - 2038&amp;"Arial,Normalny"
_______________________________________________________________________________________________________________________________</oddHeader>
    <oddFooter>&amp;C&amp;8&amp;P</oddFooter>
  </headerFooter>
  <rowBreaks count="8" manualBreakCount="8">
    <brk id="52" min="1" max="24" man="1"/>
    <brk id="187" min="1" max="24" man="1"/>
    <brk id="237" min="1" max="24" man="1"/>
    <brk id="298" min="1" max="24" man="1"/>
    <brk id="352" min="1" max="24" man="1"/>
    <brk id="410" min="1" max="24" man="1"/>
    <brk id="460" min="1" max="24" man="1"/>
    <brk id="513" min="1" max="2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I219"/>
  <sheetViews>
    <sheetView showGridLines="0" view="pageBreakPreview" topLeftCell="A68" zoomScale="110" zoomScaleNormal="100" zoomScaleSheetLayoutView="110" workbookViewId="0">
      <selection activeCell="B84" sqref="B84"/>
    </sheetView>
  </sheetViews>
  <sheetFormatPr defaultColWidth="9.140625" defaultRowHeight="12.75"/>
  <cols>
    <col min="1" max="1" width="4" style="2356" customWidth="1"/>
    <col min="2" max="2" width="54.7109375" style="2357" customWidth="1"/>
    <col min="3" max="3" width="10.42578125" style="2357" customWidth="1"/>
    <col min="4" max="4" width="11.7109375" style="2357" customWidth="1"/>
    <col min="5" max="6" width="10.28515625" style="2357" hidden="1" customWidth="1"/>
    <col min="7" max="8" width="10.42578125" style="2357" hidden="1" customWidth="1"/>
    <col min="9" max="9" width="10.28515625" style="2357" hidden="1" customWidth="1"/>
    <col min="10" max="10" width="10.85546875" style="2357" hidden="1" customWidth="1"/>
    <col min="11" max="11" width="10.28515625" style="2357" hidden="1" customWidth="1"/>
    <col min="12" max="12" width="10.7109375" style="2357" hidden="1" customWidth="1"/>
    <col min="13" max="13" width="12.140625" style="2357" customWidth="1"/>
    <col min="14" max="14" width="11.42578125" style="2357" hidden="1" customWidth="1"/>
    <col min="15" max="15" width="11.28515625" style="2357" customWidth="1"/>
    <col min="16" max="16" width="9.85546875" style="2357" customWidth="1"/>
    <col min="17" max="17" width="9.42578125" style="2357" customWidth="1"/>
    <col min="18" max="20" width="9.85546875" style="2357" customWidth="1"/>
    <col min="21" max="23" width="9.42578125" style="2357" bestFit="1" customWidth="1"/>
    <col min="24" max="24" width="12.7109375" style="2357" customWidth="1"/>
    <col min="25" max="25" width="14.5703125" style="2357" customWidth="1"/>
    <col min="26" max="26" width="14" style="2357" customWidth="1"/>
    <col min="27" max="27" width="12.140625" style="2357" customWidth="1"/>
    <col min="28" max="28" width="9.5703125" style="2357" customWidth="1"/>
    <col min="29" max="29" width="14.28515625" style="2357" customWidth="1"/>
    <col min="30" max="30" width="12" style="2357" customWidth="1"/>
    <col min="31" max="32" width="9.140625" style="2357"/>
    <col min="33" max="33" width="12.5703125" style="2357" customWidth="1"/>
    <col min="34" max="16384" width="9.140625" style="2357"/>
  </cols>
  <sheetData>
    <row r="1" spans="1:27" s="2355" customFormat="1" ht="17.25" customHeight="1">
      <c r="A1" s="3160"/>
      <c r="B1" s="3160"/>
      <c r="C1" s="3160"/>
      <c r="D1" s="3160"/>
      <c r="E1" s="3160"/>
      <c r="F1" s="3160"/>
      <c r="G1" s="3160"/>
      <c r="H1" s="3160"/>
      <c r="I1" s="3160"/>
      <c r="J1" s="3160"/>
      <c r="K1" s="3160"/>
      <c r="L1" s="3160"/>
      <c r="M1" s="3160"/>
      <c r="N1" s="3160"/>
      <c r="O1" s="1979"/>
      <c r="P1" s="3160"/>
      <c r="Q1" s="3160"/>
      <c r="R1" s="3160"/>
      <c r="S1" s="3160"/>
      <c r="T1" s="1985" t="s">
        <v>145</v>
      </c>
      <c r="U1" s="1985"/>
      <c r="V1" s="1985"/>
      <c r="W1" s="1985"/>
      <c r="X1" s="331"/>
      <c r="Y1" s="332"/>
      <c r="Z1" s="3756"/>
    </row>
    <row r="2" spans="1:27" ht="6.75" customHeight="1">
      <c r="A2" s="3160"/>
      <c r="B2" s="3160"/>
      <c r="C2" s="3160"/>
      <c r="D2" s="2004"/>
      <c r="E2" s="2004"/>
      <c r="F2" s="2004"/>
      <c r="G2" s="2004"/>
      <c r="H2" s="2004"/>
      <c r="I2" s="2004"/>
      <c r="J2" s="2004"/>
      <c r="K2" s="2004"/>
      <c r="L2" s="2004"/>
      <c r="M2" s="2004"/>
      <c r="N2" s="2004"/>
      <c r="O2" s="2004"/>
      <c r="P2" s="2004"/>
      <c r="Q2" s="2004"/>
      <c r="R2" s="2004"/>
      <c r="S2" s="2004"/>
      <c r="T2" s="2004"/>
      <c r="U2" s="2004"/>
      <c r="V2" s="2004"/>
      <c r="W2" s="2004"/>
      <c r="X2" s="2004"/>
      <c r="Y2" s="332"/>
      <c r="Z2" s="3757"/>
    </row>
    <row r="3" spans="1:27" ht="34.5" customHeight="1">
      <c r="A3" s="4236" t="s">
        <v>146</v>
      </c>
      <c r="B3" s="4237"/>
      <c r="C3" s="4237"/>
      <c r="D3" s="4237"/>
      <c r="E3" s="4237"/>
      <c r="F3" s="4237"/>
      <c r="G3" s="4237"/>
      <c r="H3" s="4237"/>
      <c r="I3" s="4237"/>
      <c r="J3" s="4237"/>
      <c r="K3" s="4237"/>
      <c r="L3" s="4237"/>
      <c r="M3" s="4237"/>
      <c r="N3" s="4237"/>
      <c r="O3" s="4237"/>
      <c r="P3" s="4237"/>
      <c r="Q3" s="4237"/>
      <c r="R3" s="4237"/>
      <c r="S3" s="4237"/>
      <c r="T3" s="4237"/>
      <c r="U3" s="4237"/>
      <c r="V3" s="4237"/>
      <c r="W3" s="4237"/>
      <c r="X3" s="4237"/>
      <c r="Y3" s="4238"/>
      <c r="Z3" s="3796"/>
    </row>
    <row r="4" spans="1:27" ht="22.5" customHeight="1">
      <c r="A4" s="4248" t="s">
        <v>90</v>
      </c>
      <c r="B4" s="4242" t="s">
        <v>91</v>
      </c>
      <c r="C4" s="4239" t="s">
        <v>87</v>
      </c>
      <c r="D4" s="4239" t="s">
        <v>147</v>
      </c>
      <c r="E4" s="3797" t="s">
        <v>3</v>
      </c>
      <c r="F4" s="3797"/>
      <c r="G4" s="3797"/>
      <c r="H4" s="3797"/>
      <c r="I4" s="3797"/>
      <c r="J4" s="3797"/>
      <c r="K4" s="3797"/>
      <c r="L4" s="3797"/>
      <c r="M4" s="4245" t="s">
        <v>522</v>
      </c>
      <c r="N4" s="3797"/>
      <c r="O4" s="4246" t="s">
        <v>551</v>
      </c>
      <c r="P4" s="4247" t="s">
        <v>540</v>
      </c>
      <c r="Q4" s="4247"/>
      <c r="R4" s="4247"/>
      <c r="S4" s="4247"/>
      <c r="T4" s="4247"/>
      <c r="U4" s="4247"/>
      <c r="V4" s="4247"/>
      <c r="W4" s="4247"/>
      <c r="X4" s="4243" t="s">
        <v>494</v>
      </c>
      <c r="Y4" s="4242" t="s">
        <v>89</v>
      </c>
      <c r="Z4" s="3798"/>
    </row>
    <row r="5" spans="1:27" ht="27" customHeight="1">
      <c r="A5" s="4249"/>
      <c r="B5" s="4242"/>
      <c r="C5" s="4240"/>
      <c r="D5" s="4241"/>
      <c r="E5" s="3797"/>
      <c r="F5" s="3797"/>
      <c r="G5" s="3797"/>
      <c r="H5" s="3797"/>
      <c r="I5" s="3797"/>
      <c r="J5" s="3797"/>
      <c r="K5" s="3797"/>
      <c r="L5" s="3797"/>
      <c r="M5" s="4245"/>
      <c r="N5" s="3797"/>
      <c r="O5" s="4246"/>
      <c r="P5" s="4247"/>
      <c r="Q5" s="4247"/>
      <c r="R5" s="4247"/>
      <c r="S5" s="4247"/>
      <c r="T5" s="4247"/>
      <c r="U5" s="4247"/>
      <c r="V5" s="4247"/>
      <c r="W5" s="4247"/>
      <c r="X5" s="4244"/>
      <c r="Y5" s="4242"/>
      <c r="Z5" s="3798"/>
    </row>
    <row r="6" spans="1:27" ht="45" customHeight="1">
      <c r="A6" s="4250"/>
      <c r="B6" s="4242"/>
      <c r="C6" s="4240"/>
      <c r="D6" s="4241"/>
      <c r="E6" s="3799" t="s">
        <v>6</v>
      </c>
      <c r="F6" s="3800" t="s">
        <v>7</v>
      </c>
      <c r="G6" s="3800" t="s">
        <v>8</v>
      </c>
      <c r="H6" s="3800" t="s">
        <v>9</v>
      </c>
      <c r="I6" s="3801" t="s">
        <v>10</v>
      </c>
      <c r="J6" s="3801" t="s">
        <v>11</v>
      </c>
      <c r="K6" s="3801" t="s">
        <v>12</v>
      </c>
      <c r="L6" s="3801" t="s">
        <v>13</v>
      </c>
      <c r="M6" s="3802" t="s">
        <v>495</v>
      </c>
      <c r="N6" s="3801" t="s">
        <v>14</v>
      </c>
      <c r="O6" s="3801" t="s">
        <v>15</v>
      </c>
      <c r="P6" s="3801" t="s">
        <v>16</v>
      </c>
      <c r="Q6" s="3801" t="s">
        <v>17</v>
      </c>
      <c r="R6" s="3801" t="s">
        <v>18</v>
      </c>
      <c r="S6" s="3801" t="s">
        <v>376</v>
      </c>
      <c r="T6" s="3801" t="s">
        <v>381</v>
      </c>
      <c r="U6" s="3801" t="s">
        <v>491</v>
      </c>
      <c r="V6" s="3801" t="s">
        <v>492</v>
      </c>
      <c r="W6" s="3801" t="s">
        <v>490</v>
      </c>
      <c r="X6" s="4244"/>
      <c r="Y6" s="4242"/>
      <c r="Z6" s="3798"/>
    </row>
    <row r="7" spans="1:27" ht="13.5" customHeight="1">
      <c r="A7" s="3803">
        <v>1</v>
      </c>
      <c r="B7" s="3804">
        <v>2</v>
      </c>
      <c r="C7" s="3805" t="s">
        <v>148</v>
      </c>
      <c r="D7" s="3805" t="s">
        <v>149</v>
      </c>
      <c r="E7" s="3805"/>
      <c r="F7" s="3805"/>
      <c r="G7" s="3804"/>
      <c r="H7" s="3804"/>
      <c r="I7" s="3805"/>
      <c r="J7" s="3805"/>
      <c r="K7" s="3805"/>
      <c r="L7" s="3805"/>
      <c r="M7" s="3805">
        <v>5</v>
      </c>
      <c r="N7" s="3805" t="s">
        <v>493</v>
      </c>
      <c r="O7" s="3805">
        <v>6</v>
      </c>
      <c r="P7" s="3805">
        <v>7</v>
      </c>
      <c r="Q7" s="3805">
        <v>8</v>
      </c>
      <c r="R7" s="3805">
        <v>9</v>
      </c>
      <c r="S7" s="3805">
        <v>10</v>
      </c>
      <c r="T7" s="3805">
        <v>11</v>
      </c>
      <c r="U7" s="3805">
        <v>12</v>
      </c>
      <c r="V7" s="3805">
        <v>13</v>
      </c>
      <c r="W7" s="3805">
        <v>14</v>
      </c>
      <c r="X7" s="3806">
        <v>15</v>
      </c>
      <c r="Y7" s="3805">
        <v>16</v>
      </c>
      <c r="Z7" s="3798"/>
    </row>
    <row r="8" spans="1:27" ht="13.5" customHeight="1">
      <c r="A8" s="3807"/>
      <c r="B8" s="3808" t="s">
        <v>92</v>
      </c>
      <c r="C8" s="3808"/>
      <c r="D8" s="3809">
        <f>+D9+D10</f>
        <v>179065840</v>
      </c>
      <c r="E8" s="3809">
        <f>+E9+E10</f>
        <v>10959072</v>
      </c>
      <c r="F8" s="3809">
        <f t="shared" ref="F8:R8" si="0">+F9+F10</f>
        <v>337011</v>
      </c>
      <c r="G8" s="3809">
        <f t="shared" si="0"/>
        <v>4987571</v>
      </c>
      <c r="H8" s="3809">
        <f t="shared" si="0"/>
        <v>8072537</v>
      </c>
      <c r="I8" s="3809">
        <f t="shared" si="0"/>
        <v>7871097</v>
      </c>
      <c r="J8" s="3809">
        <f t="shared" si="0"/>
        <v>8700535</v>
      </c>
      <c r="K8" s="3809">
        <f t="shared" si="0"/>
        <v>10435954</v>
      </c>
      <c r="L8" s="3809">
        <f t="shared" si="0"/>
        <v>14018868</v>
      </c>
      <c r="M8" s="3809">
        <f t="shared" ref="M8:N8" si="1">+M9+M10</f>
        <v>78561043</v>
      </c>
      <c r="N8" s="3809">
        <f t="shared" si="1"/>
        <v>26575517</v>
      </c>
      <c r="O8" s="3809">
        <f t="shared" si="0"/>
        <v>20086344</v>
      </c>
      <c r="P8" s="3809">
        <f t="shared" si="0"/>
        <v>11524467</v>
      </c>
      <c r="Q8" s="3809">
        <f t="shared" si="0"/>
        <v>11192728</v>
      </c>
      <c r="R8" s="3809">
        <f t="shared" si="0"/>
        <v>11180275</v>
      </c>
      <c r="S8" s="3809">
        <f t="shared" ref="S8:T8" si="2">+S9+S10</f>
        <v>9681275</v>
      </c>
      <c r="T8" s="3809">
        <f t="shared" si="2"/>
        <v>9701275</v>
      </c>
      <c r="U8" s="3809">
        <f t="shared" ref="U8:W8" si="3">+U9+U10</f>
        <v>9597275</v>
      </c>
      <c r="V8" s="3809">
        <f t="shared" si="3"/>
        <v>8877275</v>
      </c>
      <c r="W8" s="3809">
        <f t="shared" si="3"/>
        <v>8663883</v>
      </c>
      <c r="X8" s="3810">
        <f>+X9+X10</f>
        <v>80418453</v>
      </c>
      <c r="Y8" s="3811"/>
      <c r="Z8" s="3812">
        <f>+O8+P8+Q8+R8</f>
        <v>53983814</v>
      </c>
      <c r="AA8" s="2358"/>
    </row>
    <row r="9" spans="1:27" ht="13.5" customHeight="1">
      <c r="A9" s="3813"/>
      <c r="B9" s="3808" t="s">
        <v>93</v>
      </c>
      <c r="C9" s="3808"/>
      <c r="D9" s="3809">
        <f t="shared" ref="D9:W9" si="4">+D23+D30+D42+D54+D102+D114+D162+D174+D186+D198+D66+D78+D90+D138</f>
        <v>179045669</v>
      </c>
      <c r="E9" s="3809">
        <f t="shared" si="4"/>
        <v>10959072</v>
      </c>
      <c r="F9" s="3809">
        <f t="shared" si="4"/>
        <v>337011</v>
      </c>
      <c r="G9" s="3809">
        <f t="shared" si="4"/>
        <v>4987571</v>
      </c>
      <c r="H9" s="3809">
        <f t="shared" si="4"/>
        <v>8072537</v>
      </c>
      <c r="I9" s="3809">
        <f t="shared" si="4"/>
        <v>7871097</v>
      </c>
      <c r="J9" s="3809">
        <f t="shared" si="4"/>
        <v>8700535</v>
      </c>
      <c r="K9" s="3809">
        <f t="shared" si="4"/>
        <v>10435954</v>
      </c>
      <c r="L9" s="3809">
        <f t="shared" si="4"/>
        <v>14018868</v>
      </c>
      <c r="M9" s="3809">
        <f t="shared" si="4"/>
        <v>78561043</v>
      </c>
      <c r="N9" s="3809">
        <f t="shared" si="4"/>
        <v>26575517</v>
      </c>
      <c r="O9" s="3809">
        <f t="shared" si="4"/>
        <v>20086344</v>
      </c>
      <c r="P9" s="3809">
        <f t="shared" si="4"/>
        <v>11504296</v>
      </c>
      <c r="Q9" s="3809">
        <f t="shared" si="4"/>
        <v>11192728</v>
      </c>
      <c r="R9" s="3809">
        <f t="shared" si="4"/>
        <v>11180275</v>
      </c>
      <c r="S9" s="3809">
        <f t="shared" si="4"/>
        <v>9681275</v>
      </c>
      <c r="T9" s="3809">
        <f t="shared" si="4"/>
        <v>9701275</v>
      </c>
      <c r="U9" s="3809">
        <f t="shared" si="4"/>
        <v>9597275</v>
      </c>
      <c r="V9" s="3809">
        <f t="shared" si="4"/>
        <v>8877275</v>
      </c>
      <c r="W9" s="3809">
        <f t="shared" si="4"/>
        <v>8663883</v>
      </c>
      <c r="X9" s="3809">
        <f>+X23+X30+X42+X54+X102+X114+X162+X174+X186+X198+X66+X78+X90+X138</f>
        <v>80398282</v>
      </c>
      <c r="Y9" s="3811"/>
      <c r="Z9" s="3812"/>
      <c r="AA9" s="2358"/>
    </row>
    <row r="10" spans="1:27" ht="13.5" customHeight="1">
      <c r="A10" s="3813"/>
      <c r="B10" s="3814" t="s">
        <v>21</v>
      </c>
      <c r="C10" s="3815"/>
      <c r="D10" s="3816">
        <f>D126+D150</f>
        <v>20171</v>
      </c>
      <c r="E10" s="3816">
        <f t="shared" ref="E10:W10" si="5">E126+E150</f>
        <v>0</v>
      </c>
      <c r="F10" s="3816">
        <f t="shared" si="5"/>
        <v>0</v>
      </c>
      <c r="G10" s="3816">
        <f t="shared" si="5"/>
        <v>0</v>
      </c>
      <c r="H10" s="3816">
        <f t="shared" si="5"/>
        <v>0</v>
      </c>
      <c r="I10" s="3816">
        <f t="shared" si="5"/>
        <v>0</v>
      </c>
      <c r="J10" s="3816">
        <f t="shared" si="5"/>
        <v>0</v>
      </c>
      <c r="K10" s="3816">
        <f t="shared" si="5"/>
        <v>0</v>
      </c>
      <c r="L10" s="3816">
        <f t="shared" si="5"/>
        <v>0</v>
      </c>
      <c r="M10" s="3816">
        <f t="shared" si="5"/>
        <v>0</v>
      </c>
      <c r="N10" s="3816">
        <f t="shared" si="5"/>
        <v>0</v>
      </c>
      <c r="O10" s="3816">
        <f t="shared" si="5"/>
        <v>0</v>
      </c>
      <c r="P10" s="3816">
        <f t="shared" si="5"/>
        <v>20171</v>
      </c>
      <c r="Q10" s="3816">
        <f t="shared" si="5"/>
        <v>0</v>
      </c>
      <c r="R10" s="3816">
        <f t="shared" si="5"/>
        <v>0</v>
      </c>
      <c r="S10" s="3816">
        <f t="shared" si="5"/>
        <v>0</v>
      </c>
      <c r="T10" s="3816">
        <f t="shared" si="5"/>
        <v>0</v>
      </c>
      <c r="U10" s="3816">
        <f t="shared" si="5"/>
        <v>0</v>
      </c>
      <c r="V10" s="3816">
        <f t="shared" si="5"/>
        <v>0</v>
      </c>
      <c r="W10" s="3816">
        <f t="shared" si="5"/>
        <v>0</v>
      </c>
      <c r="X10" s="3810">
        <f>SUM(P10:T10)</f>
        <v>20171</v>
      </c>
      <c r="Y10" s="3811"/>
      <c r="Z10" s="3798"/>
    </row>
    <row r="11" spans="1:27" ht="13.5" customHeight="1">
      <c r="A11" s="3813"/>
      <c r="B11" s="3817" t="s">
        <v>22</v>
      </c>
      <c r="C11" s="3817"/>
      <c r="D11" s="3818">
        <f>+D12+D15</f>
        <v>179065840</v>
      </c>
      <c r="E11" s="3818">
        <f t="shared" ref="E11:T11" si="6">E12+E15</f>
        <v>10959072</v>
      </c>
      <c r="F11" s="3818">
        <f t="shared" si="6"/>
        <v>337011</v>
      </c>
      <c r="G11" s="3818">
        <f t="shared" si="6"/>
        <v>4987571</v>
      </c>
      <c r="H11" s="3818">
        <f t="shared" si="6"/>
        <v>8072537</v>
      </c>
      <c r="I11" s="3818">
        <f t="shared" si="6"/>
        <v>7871097</v>
      </c>
      <c r="J11" s="3818">
        <f t="shared" si="6"/>
        <v>8700535</v>
      </c>
      <c r="K11" s="3818">
        <f t="shared" si="6"/>
        <v>10435954</v>
      </c>
      <c r="L11" s="3818">
        <f t="shared" si="6"/>
        <v>14018868</v>
      </c>
      <c r="M11" s="3818">
        <f t="shared" si="6"/>
        <v>78561043</v>
      </c>
      <c r="N11" s="3818">
        <f t="shared" si="6"/>
        <v>26575517</v>
      </c>
      <c r="O11" s="3818">
        <f t="shared" si="6"/>
        <v>20086344</v>
      </c>
      <c r="P11" s="3818">
        <f t="shared" si="6"/>
        <v>11524467</v>
      </c>
      <c r="Q11" s="3818">
        <f t="shared" si="6"/>
        <v>11192728</v>
      </c>
      <c r="R11" s="3818">
        <f t="shared" si="6"/>
        <v>11180275</v>
      </c>
      <c r="S11" s="3818">
        <f t="shared" si="6"/>
        <v>9681275</v>
      </c>
      <c r="T11" s="3818">
        <f t="shared" si="6"/>
        <v>9701275</v>
      </c>
      <c r="U11" s="3818">
        <f t="shared" ref="U11:W11" si="7">U12+U15</f>
        <v>9597275</v>
      </c>
      <c r="V11" s="3818">
        <f t="shared" si="7"/>
        <v>8877275</v>
      </c>
      <c r="W11" s="3818">
        <f t="shared" si="7"/>
        <v>8663883</v>
      </c>
      <c r="X11" s="3819">
        <f>X12+X15</f>
        <v>80398282</v>
      </c>
      <c r="Y11" s="3820"/>
      <c r="Z11" s="3812"/>
      <c r="AA11" s="2358"/>
    </row>
    <row r="12" spans="1:27" s="2360" customFormat="1" ht="13.5" customHeight="1">
      <c r="A12" s="3813"/>
      <c r="B12" s="3821" t="s">
        <v>36</v>
      </c>
      <c r="C12" s="3821"/>
      <c r="D12" s="3822">
        <f>D13+D14</f>
        <v>23839046</v>
      </c>
      <c r="E12" s="3822">
        <f t="shared" ref="E12:T12" si="8">E13+E14</f>
        <v>1643859</v>
      </c>
      <c r="F12" s="3822">
        <f t="shared" si="8"/>
        <v>50550</v>
      </c>
      <c r="G12" s="3822">
        <f t="shared" si="8"/>
        <v>748135</v>
      </c>
      <c r="H12" s="3822">
        <f t="shared" si="8"/>
        <v>1210880</v>
      </c>
      <c r="I12" s="3822">
        <f t="shared" si="8"/>
        <v>1180814</v>
      </c>
      <c r="J12" s="3822">
        <f t="shared" si="8"/>
        <v>1307516</v>
      </c>
      <c r="K12" s="3822">
        <f t="shared" si="8"/>
        <v>1308185</v>
      </c>
      <c r="L12" s="3822">
        <f t="shared" si="8"/>
        <v>1866066</v>
      </c>
      <c r="M12" s="3822">
        <f t="shared" si="8"/>
        <v>9776752</v>
      </c>
      <c r="N12" s="3822">
        <f t="shared" si="8"/>
        <v>2470312</v>
      </c>
      <c r="O12" s="3822">
        <f t="shared" si="8"/>
        <v>1966937</v>
      </c>
      <c r="P12" s="3822">
        <f t="shared" si="8"/>
        <v>1741185</v>
      </c>
      <c r="Q12" s="3822">
        <f t="shared" si="8"/>
        <v>1688946</v>
      </c>
      <c r="R12" s="3822">
        <f t="shared" si="8"/>
        <v>1687078</v>
      </c>
      <c r="S12" s="3822">
        <f t="shared" si="8"/>
        <v>1452191</v>
      </c>
      <c r="T12" s="3822">
        <f t="shared" si="8"/>
        <v>1455191</v>
      </c>
      <c r="U12" s="3822">
        <f t="shared" ref="U12:W12" si="9">U13+U14</f>
        <v>1439591</v>
      </c>
      <c r="V12" s="3822">
        <f t="shared" si="9"/>
        <v>1331592</v>
      </c>
      <c r="W12" s="3822">
        <f t="shared" si="9"/>
        <v>1299583</v>
      </c>
      <c r="X12" s="3823">
        <f>X13+X14</f>
        <v>12092186</v>
      </c>
      <c r="Y12" s="3811"/>
      <c r="Z12" s="3824"/>
    </row>
    <row r="13" spans="1:27" ht="12.75" customHeight="1">
      <c r="A13" s="3813"/>
      <c r="B13" s="3825" t="s">
        <v>24</v>
      </c>
      <c r="C13" s="3825"/>
      <c r="D13" s="3826">
        <f>D44+D56+D116+D128+D80+D68+D200+D92+D140+D152+D164</f>
        <v>22333857</v>
      </c>
      <c r="E13" s="3826">
        <f t="shared" ref="E13:W13" si="10">E44+E56+E116+E128+E80+E68+E200+E92+E140+E152+E164</f>
        <v>1643859</v>
      </c>
      <c r="F13" s="3826">
        <f t="shared" si="10"/>
        <v>48498</v>
      </c>
      <c r="G13" s="3826">
        <f t="shared" si="10"/>
        <v>631473</v>
      </c>
      <c r="H13" s="3826">
        <f t="shared" si="10"/>
        <v>963888</v>
      </c>
      <c r="I13" s="3826">
        <f t="shared" si="10"/>
        <v>1157384</v>
      </c>
      <c r="J13" s="3826">
        <f t="shared" si="10"/>
        <v>1271658</v>
      </c>
      <c r="K13" s="3826">
        <f t="shared" si="10"/>
        <v>1264124</v>
      </c>
      <c r="L13" s="3826">
        <f t="shared" si="10"/>
        <v>1493858</v>
      </c>
      <c r="M13" s="3826">
        <f t="shared" si="10"/>
        <v>8622647</v>
      </c>
      <c r="N13" s="3826">
        <f t="shared" si="10"/>
        <v>1791764</v>
      </c>
      <c r="O13" s="3826">
        <f t="shared" si="10"/>
        <v>1615853</v>
      </c>
      <c r="P13" s="3826">
        <f t="shared" si="10"/>
        <v>1741185</v>
      </c>
      <c r="Q13" s="3826">
        <f t="shared" si="10"/>
        <v>1688946</v>
      </c>
      <c r="R13" s="3826">
        <f t="shared" si="10"/>
        <v>1687078</v>
      </c>
      <c r="S13" s="3826">
        <f t="shared" si="10"/>
        <v>1452191</v>
      </c>
      <c r="T13" s="3826">
        <f t="shared" si="10"/>
        <v>1455191</v>
      </c>
      <c r="U13" s="3826">
        <f t="shared" si="10"/>
        <v>1439591</v>
      </c>
      <c r="V13" s="3826">
        <f t="shared" si="10"/>
        <v>1331592</v>
      </c>
      <c r="W13" s="3826">
        <f t="shared" si="10"/>
        <v>1299583</v>
      </c>
      <c r="X13" s="3827">
        <f>X44+X56+X116+X128+X80+X68+X200+X92+X140</f>
        <v>12092186</v>
      </c>
      <c r="Y13" s="3811"/>
      <c r="Z13" s="3812"/>
    </row>
    <row r="14" spans="1:27" ht="12.75" customHeight="1">
      <c r="A14" s="3813"/>
      <c r="B14" s="3828" t="s">
        <v>25</v>
      </c>
      <c r="C14" s="3825"/>
      <c r="D14" s="3829">
        <f>D45+D57+D105+D117+D165+D33+D81+D69+D153</f>
        <v>1505189</v>
      </c>
      <c r="E14" s="3829">
        <f t="shared" ref="E14:W14" si="11">E45+E57+E105+E117+E165+E33+E81+E69+E153</f>
        <v>0</v>
      </c>
      <c r="F14" s="3829">
        <f t="shared" si="11"/>
        <v>2052</v>
      </c>
      <c r="G14" s="3829">
        <f t="shared" si="11"/>
        <v>116662</v>
      </c>
      <c r="H14" s="3829">
        <f t="shared" si="11"/>
        <v>246992</v>
      </c>
      <c r="I14" s="3829">
        <f t="shared" si="11"/>
        <v>23430</v>
      </c>
      <c r="J14" s="3829">
        <f t="shared" si="11"/>
        <v>35858</v>
      </c>
      <c r="K14" s="3829">
        <f t="shared" si="11"/>
        <v>44061</v>
      </c>
      <c r="L14" s="3829">
        <f t="shared" si="11"/>
        <v>372208</v>
      </c>
      <c r="M14" s="3829">
        <f t="shared" si="11"/>
        <v>1154105</v>
      </c>
      <c r="N14" s="3829">
        <f t="shared" si="11"/>
        <v>678548</v>
      </c>
      <c r="O14" s="3829">
        <f t="shared" si="11"/>
        <v>351084</v>
      </c>
      <c r="P14" s="3829">
        <f t="shared" si="11"/>
        <v>0</v>
      </c>
      <c r="Q14" s="3829">
        <f t="shared" si="11"/>
        <v>0</v>
      </c>
      <c r="R14" s="3829">
        <f t="shared" si="11"/>
        <v>0</v>
      </c>
      <c r="S14" s="3829">
        <f t="shared" si="11"/>
        <v>0</v>
      </c>
      <c r="T14" s="3829">
        <f t="shared" si="11"/>
        <v>0</v>
      </c>
      <c r="U14" s="3829">
        <f t="shared" si="11"/>
        <v>0</v>
      </c>
      <c r="V14" s="3829">
        <f t="shared" si="11"/>
        <v>0</v>
      </c>
      <c r="W14" s="3829">
        <f t="shared" si="11"/>
        <v>0</v>
      </c>
      <c r="X14" s="3827">
        <f>SUM(P14:T14)</f>
        <v>0</v>
      </c>
      <c r="Y14" s="3811"/>
      <c r="Z14" s="3812"/>
    </row>
    <row r="15" spans="1:27" s="2360" customFormat="1" ht="12.75" customHeight="1">
      <c r="A15" s="3813"/>
      <c r="B15" s="3830" t="s">
        <v>30</v>
      </c>
      <c r="C15" s="3830"/>
      <c r="D15" s="3822">
        <f>D16</f>
        <v>155226794</v>
      </c>
      <c r="E15" s="3822">
        <f t="shared" ref="E15:T15" si="12">E16</f>
        <v>9315213</v>
      </c>
      <c r="F15" s="3822">
        <f t="shared" si="12"/>
        <v>286461</v>
      </c>
      <c r="G15" s="3822">
        <f t="shared" si="12"/>
        <v>4239436</v>
      </c>
      <c r="H15" s="3822">
        <f t="shared" si="12"/>
        <v>6861657</v>
      </c>
      <c r="I15" s="3822">
        <f t="shared" si="12"/>
        <v>6690283</v>
      </c>
      <c r="J15" s="3822">
        <f t="shared" si="12"/>
        <v>7393019</v>
      </c>
      <c r="K15" s="3822">
        <f t="shared" si="12"/>
        <v>9127769</v>
      </c>
      <c r="L15" s="3822">
        <f t="shared" si="12"/>
        <v>12152802</v>
      </c>
      <c r="M15" s="3822">
        <f t="shared" si="12"/>
        <v>68784291</v>
      </c>
      <c r="N15" s="3822">
        <f t="shared" si="12"/>
        <v>24105205</v>
      </c>
      <c r="O15" s="3822">
        <f t="shared" si="12"/>
        <v>18119407</v>
      </c>
      <c r="P15" s="3822">
        <f t="shared" si="12"/>
        <v>9783282</v>
      </c>
      <c r="Q15" s="3822">
        <f t="shared" si="12"/>
        <v>9503782</v>
      </c>
      <c r="R15" s="3822">
        <f t="shared" si="12"/>
        <v>9493197</v>
      </c>
      <c r="S15" s="3822">
        <f t="shared" si="12"/>
        <v>8229084</v>
      </c>
      <c r="T15" s="3822">
        <f t="shared" si="12"/>
        <v>8246084</v>
      </c>
      <c r="U15" s="3822">
        <f t="shared" ref="U15:W15" si="13">U16</f>
        <v>8157684</v>
      </c>
      <c r="V15" s="3822">
        <f t="shared" si="13"/>
        <v>7545683</v>
      </c>
      <c r="W15" s="3822">
        <f t="shared" si="13"/>
        <v>7364300</v>
      </c>
      <c r="X15" s="3823">
        <f>X16</f>
        <v>68306096</v>
      </c>
      <c r="Y15" s="3811"/>
      <c r="Z15" s="3824"/>
    </row>
    <row r="16" spans="1:27" ht="12.75" customHeight="1">
      <c r="A16" s="3813"/>
      <c r="B16" s="3825" t="s">
        <v>33</v>
      </c>
      <c r="C16" s="3825"/>
      <c r="D16" s="3831">
        <f>+D47+D59+D107+D119+D167+D35+D179+D191+D25+D131+D83+D71+D203+D95+D143+D155</f>
        <v>155226794</v>
      </c>
      <c r="E16" s="3831">
        <f t="shared" ref="E16:W16" si="14">+E47+E59+E107+E119+E167+E35+E179+E191+E25+E131+E83+E71+E203+E95+E143+E155</f>
        <v>9315213</v>
      </c>
      <c r="F16" s="3831">
        <f t="shared" si="14"/>
        <v>286461</v>
      </c>
      <c r="G16" s="3831">
        <f t="shared" si="14"/>
        <v>4239436</v>
      </c>
      <c r="H16" s="3831">
        <f t="shared" si="14"/>
        <v>6861657</v>
      </c>
      <c r="I16" s="3831">
        <f t="shared" si="14"/>
        <v>6690283</v>
      </c>
      <c r="J16" s="3831">
        <f t="shared" si="14"/>
        <v>7393019</v>
      </c>
      <c r="K16" s="3831">
        <f t="shared" si="14"/>
        <v>9127769</v>
      </c>
      <c r="L16" s="3831">
        <f t="shared" si="14"/>
        <v>12152802</v>
      </c>
      <c r="M16" s="3831">
        <f t="shared" si="14"/>
        <v>68784291</v>
      </c>
      <c r="N16" s="3831">
        <f t="shared" si="14"/>
        <v>24105205</v>
      </c>
      <c r="O16" s="3831">
        <f t="shared" si="14"/>
        <v>18119407</v>
      </c>
      <c r="P16" s="3831">
        <f t="shared" si="14"/>
        <v>9783282</v>
      </c>
      <c r="Q16" s="3831">
        <f t="shared" si="14"/>
        <v>9503782</v>
      </c>
      <c r="R16" s="3831">
        <f t="shared" si="14"/>
        <v>9493197</v>
      </c>
      <c r="S16" s="3831">
        <f t="shared" si="14"/>
        <v>8229084</v>
      </c>
      <c r="T16" s="3831">
        <f t="shared" si="14"/>
        <v>8246084</v>
      </c>
      <c r="U16" s="3831">
        <f t="shared" si="14"/>
        <v>8157684</v>
      </c>
      <c r="V16" s="3831">
        <f t="shared" si="14"/>
        <v>7545683</v>
      </c>
      <c r="W16" s="3831">
        <f t="shared" si="14"/>
        <v>7364300</v>
      </c>
      <c r="X16" s="3827">
        <f>+X47+X59+X107+X119+X167+X35+X179+X191+X25+X131+X83+X71+X203+X95+X143</f>
        <v>68306096</v>
      </c>
      <c r="Y16" s="3820"/>
      <c r="Z16" s="3812"/>
    </row>
    <row r="17" spans="1:27" ht="13.5" customHeight="1">
      <c r="A17" s="3813"/>
      <c r="B17" s="3817" t="s">
        <v>34</v>
      </c>
      <c r="C17" s="3817"/>
      <c r="D17" s="3818">
        <f>D18+D20</f>
        <v>156731983</v>
      </c>
      <c r="E17" s="3818">
        <f t="shared" ref="E17:P17" si="15">E18+E20</f>
        <v>9315213</v>
      </c>
      <c r="F17" s="3818">
        <f t="shared" si="15"/>
        <v>288513</v>
      </c>
      <c r="G17" s="3818">
        <f t="shared" si="15"/>
        <v>4356098</v>
      </c>
      <c r="H17" s="3818">
        <f t="shared" si="15"/>
        <v>7108649</v>
      </c>
      <c r="I17" s="3818">
        <f t="shared" si="15"/>
        <v>6713713</v>
      </c>
      <c r="J17" s="3818">
        <f t="shared" si="15"/>
        <v>7428877</v>
      </c>
      <c r="K17" s="3818">
        <f t="shared" si="15"/>
        <v>9259249</v>
      </c>
      <c r="L17" s="3818">
        <f t="shared" si="15"/>
        <v>12169642</v>
      </c>
      <c r="M17" s="3818">
        <f t="shared" si="15"/>
        <v>71597330</v>
      </c>
      <c r="N17" s="3818">
        <f t="shared" si="15"/>
        <v>26710636</v>
      </c>
      <c r="O17" s="3818">
        <f t="shared" si="15"/>
        <v>16380465</v>
      </c>
      <c r="P17" s="3818">
        <f t="shared" si="15"/>
        <v>10214374</v>
      </c>
      <c r="Q17" s="3818">
        <f>Q18+Q20</f>
        <v>9503782</v>
      </c>
      <c r="R17" s="3818">
        <f>R18+R20</f>
        <v>9493197</v>
      </c>
      <c r="S17" s="3818">
        <f t="shared" ref="S17:T17" si="16">S18+S20</f>
        <v>8229084</v>
      </c>
      <c r="T17" s="3818">
        <f t="shared" si="16"/>
        <v>8246084</v>
      </c>
      <c r="U17" s="3818">
        <f t="shared" ref="U17:W17" si="17">U18+U20</f>
        <v>8157684</v>
      </c>
      <c r="V17" s="3818">
        <f t="shared" si="17"/>
        <v>7545683</v>
      </c>
      <c r="W17" s="3818">
        <f t="shared" si="17"/>
        <v>7364300</v>
      </c>
      <c r="X17" s="4228" t="s">
        <v>77</v>
      </c>
      <c r="Y17" s="3811"/>
      <c r="Z17" s="3798"/>
    </row>
    <row r="18" spans="1:27" ht="13.5" customHeight="1">
      <c r="A18" s="3813"/>
      <c r="B18" s="3821" t="s">
        <v>36</v>
      </c>
      <c r="C18" s="3832"/>
      <c r="D18" s="3833">
        <f>D19</f>
        <v>1505189</v>
      </c>
      <c r="E18" s="3833">
        <f t="shared" ref="E18:T18" si="18">E19</f>
        <v>0</v>
      </c>
      <c r="F18" s="3833">
        <f t="shared" si="18"/>
        <v>2052</v>
      </c>
      <c r="G18" s="3833">
        <f t="shared" si="18"/>
        <v>116662</v>
      </c>
      <c r="H18" s="3833">
        <f t="shared" si="18"/>
        <v>246992</v>
      </c>
      <c r="I18" s="3833">
        <f t="shared" si="18"/>
        <v>23430</v>
      </c>
      <c r="J18" s="3833">
        <f t="shared" si="18"/>
        <v>35858</v>
      </c>
      <c r="K18" s="3833">
        <f t="shared" si="18"/>
        <v>44061</v>
      </c>
      <c r="L18" s="3833">
        <f t="shared" si="18"/>
        <v>372208</v>
      </c>
      <c r="M18" s="3833">
        <f t="shared" si="18"/>
        <v>1154105</v>
      </c>
      <c r="N18" s="3833">
        <f t="shared" si="18"/>
        <v>678548</v>
      </c>
      <c r="O18" s="3833">
        <f t="shared" si="18"/>
        <v>351084</v>
      </c>
      <c r="P18" s="3833">
        <f t="shared" si="18"/>
        <v>0</v>
      </c>
      <c r="Q18" s="3833">
        <f t="shared" si="18"/>
        <v>0</v>
      </c>
      <c r="R18" s="3833">
        <f t="shared" si="18"/>
        <v>0</v>
      </c>
      <c r="S18" s="3833">
        <f t="shared" si="18"/>
        <v>0</v>
      </c>
      <c r="T18" s="3833">
        <f t="shared" si="18"/>
        <v>0</v>
      </c>
      <c r="U18" s="3833">
        <f t="shared" ref="U18:W18" si="19">U19</f>
        <v>0</v>
      </c>
      <c r="V18" s="3833">
        <f t="shared" si="19"/>
        <v>0</v>
      </c>
      <c r="W18" s="3833">
        <f t="shared" si="19"/>
        <v>0</v>
      </c>
      <c r="X18" s="4228"/>
      <c r="Y18" s="3811"/>
      <c r="Z18" s="3798"/>
    </row>
    <row r="19" spans="1:27" ht="13.5" customHeight="1">
      <c r="A19" s="3813"/>
      <c r="B19" s="3828" t="s">
        <v>25</v>
      </c>
      <c r="C19" s="3834"/>
      <c r="D19" s="3831">
        <f>+D50+D62+D110+D122+D170+D38+D86+D74+D158</f>
        <v>1505189</v>
      </c>
      <c r="E19" s="3831">
        <f t="shared" ref="E19:W19" si="20">+E50+E62+E110+E122+E170+E38+E86+E74+E158</f>
        <v>0</v>
      </c>
      <c r="F19" s="3831">
        <f t="shared" si="20"/>
        <v>2052</v>
      </c>
      <c r="G19" s="3831">
        <f t="shared" si="20"/>
        <v>116662</v>
      </c>
      <c r="H19" s="3831">
        <f t="shared" si="20"/>
        <v>246992</v>
      </c>
      <c r="I19" s="3831">
        <f t="shared" si="20"/>
        <v>23430</v>
      </c>
      <c r="J19" s="3831">
        <f t="shared" si="20"/>
        <v>35858</v>
      </c>
      <c r="K19" s="3831">
        <f t="shared" si="20"/>
        <v>44061</v>
      </c>
      <c r="L19" s="3831">
        <f t="shared" si="20"/>
        <v>372208</v>
      </c>
      <c r="M19" s="3831">
        <f t="shared" si="20"/>
        <v>1154105</v>
      </c>
      <c r="N19" s="3831">
        <f t="shared" si="20"/>
        <v>678548</v>
      </c>
      <c r="O19" s="3831">
        <f t="shared" si="20"/>
        <v>351084</v>
      </c>
      <c r="P19" s="3831">
        <f t="shared" si="20"/>
        <v>0</v>
      </c>
      <c r="Q19" s="3831">
        <f t="shared" si="20"/>
        <v>0</v>
      </c>
      <c r="R19" s="3831">
        <f t="shared" si="20"/>
        <v>0</v>
      </c>
      <c r="S19" s="3831">
        <f t="shared" si="20"/>
        <v>0</v>
      </c>
      <c r="T19" s="3831">
        <f t="shared" si="20"/>
        <v>0</v>
      </c>
      <c r="U19" s="3831">
        <f t="shared" si="20"/>
        <v>0</v>
      </c>
      <c r="V19" s="3831">
        <f t="shared" si="20"/>
        <v>0</v>
      </c>
      <c r="W19" s="3831">
        <f t="shared" si="20"/>
        <v>0</v>
      </c>
      <c r="X19" s="4228"/>
      <c r="Y19" s="3811"/>
      <c r="Z19" s="3798"/>
    </row>
    <row r="20" spans="1:27" ht="12" customHeight="1">
      <c r="A20" s="3813"/>
      <c r="B20" s="3835" t="s">
        <v>30</v>
      </c>
      <c r="C20" s="3835"/>
      <c r="D20" s="3833">
        <f>D21</f>
        <v>155226794</v>
      </c>
      <c r="E20" s="3833">
        <f t="shared" ref="E20:T20" si="21">E21</f>
        <v>9315213</v>
      </c>
      <c r="F20" s="3833">
        <f t="shared" si="21"/>
        <v>286461</v>
      </c>
      <c r="G20" s="3833">
        <f t="shared" si="21"/>
        <v>4239436</v>
      </c>
      <c r="H20" s="3833">
        <f t="shared" si="21"/>
        <v>6861657</v>
      </c>
      <c r="I20" s="3833">
        <f t="shared" si="21"/>
        <v>6690283</v>
      </c>
      <c r="J20" s="3833">
        <f t="shared" si="21"/>
        <v>7393019</v>
      </c>
      <c r="K20" s="3833">
        <f t="shared" si="21"/>
        <v>9215188</v>
      </c>
      <c r="L20" s="3833">
        <f t="shared" si="21"/>
        <v>11797434</v>
      </c>
      <c r="M20" s="3833">
        <f t="shared" si="21"/>
        <v>70443225</v>
      </c>
      <c r="N20" s="3833">
        <f t="shared" si="21"/>
        <v>26032088</v>
      </c>
      <c r="O20" s="3833">
        <f t="shared" si="21"/>
        <v>16029381</v>
      </c>
      <c r="P20" s="3833">
        <f t="shared" si="21"/>
        <v>10214374</v>
      </c>
      <c r="Q20" s="3833">
        <f t="shared" si="21"/>
        <v>9503782</v>
      </c>
      <c r="R20" s="3833">
        <f t="shared" si="21"/>
        <v>9493197</v>
      </c>
      <c r="S20" s="3833">
        <f t="shared" si="21"/>
        <v>8229084</v>
      </c>
      <c r="T20" s="3833">
        <f t="shared" si="21"/>
        <v>8246084</v>
      </c>
      <c r="U20" s="3833">
        <f t="shared" ref="U20:W20" si="22">U21</f>
        <v>8157684</v>
      </c>
      <c r="V20" s="3833">
        <f t="shared" si="22"/>
        <v>7545683</v>
      </c>
      <c r="W20" s="3833">
        <f t="shared" si="22"/>
        <v>7364300</v>
      </c>
      <c r="X20" s="4228"/>
      <c r="Y20" s="3811"/>
      <c r="Z20" s="3798"/>
    </row>
    <row r="21" spans="1:27" ht="13.5" customHeight="1">
      <c r="A21" s="3836"/>
      <c r="B21" s="3837" t="s">
        <v>33</v>
      </c>
      <c r="C21" s="3837"/>
      <c r="D21" s="3831">
        <f>+D52+D64+D112+D124+D172+D40+D184+D196+D28+D136+D88+D76+D208+D100+D148+D160</f>
        <v>155226794</v>
      </c>
      <c r="E21" s="3831">
        <f t="shared" ref="E21:W21" si="23">+E52+E64+E112+E124+E172+E40+E184+E196+E28+E136+E88+E76+E208+E100+E148+E160</f>
        <v>9315213</v>
      </c>
      <c r="F21" s="3831">
        <f t="shared" si="23"/>
        <v>286461</v>
      </c>
      <c r="G21" s="3831">
        <f t="shared" si="23"/>
        <v>4239436</v>
      </c>
      <c r="H21" s="3831">
        <f t="shared" si="23"/>
        <v>6861657</v>
      </c>
      <c r="I21" s="3831">
        <f t="shared" si="23"/>
        <v>6690283</v>
      </c>
      <c r="J21" s="3831">
        <f t="shared" si="23"/>
        <v>7393019</v>
      </c>
      <c r="K21" s="3831">
        <f t="shared" si="23"/>
        <v>9215188</v>
      </c>
      <c r="L21" s="3831">
        <f t="shared" si="23"/>
        <v>11797434</v>
      </c>
      <c r="M21" s="3831">
        <f t="shared" si="23"/>
        <v>70443225</v>
      </c>
      <c r="N21" s="3831">
        <f t="shared" si="23"/>
        <v>26032088</v>
      </c>
      <c r="O21" s="3831">
        <f t="shared" si="23"/>
        <v>16029381</v>
      </c>
      <c r="P21" s="3831">
        <f>+P52+P64+P112+P124+P172+P40+P184+P196+P28+P136+P88+P76+P208+P100+P148+P160</f>
        <v>10214374</v>
      </c>
      <c r="Q21" s="3831">
        <f t="shared" si="23"/>
        <v>9503782</v>
      </c>
      <c r="R21" s="3831">
        <f t="shared" si="23"/>
        <v>9493197</v>
      </c>
      <c r="S21" s="3831">
        <f t="shared" si="23"/>
        <v>8229084</v>
      </c>
      <c r="T21" s="3831">
        <f t="shared" si="23"/>
        <v>8246084</v>
      </c>
      <c r="U21" s="3831">
        <f t="shared" si="23"/>
        <v>8157684</v>
      </c>
      <c r="V21" s="3831">
        <f t="shared" si="23"/>
        <v>7545683</v>
      </c>
      <c r="W21" s="3831">
        <f t="shared" si="23"/>
        <v>7364300</v>
      </c>
      <c r="X21" s="4228"/>
      <c r="Y21" s="3820"/>
      <c r="Z21" s="3812">
        <f>D21-D16</f>
        <v>0</v>
      </c>
    </row>
    <row r="22" spans="1:27" ht="24.75" customHeight="1">
      <c r="A22" s="4219" t="s">
        <v>79</v>
      </c>
      <c r="B22" s="3838" t="s">
        <v>155</v>
      </c>
      <c r="C22" s="3839" t="s">
        <v>131</v>
      </c>
      <c r="D22" s="3840"/>
      <c r="E22" s="3841"/>
      <c r="F22" s="3841"/>
      <c r="G22" s="3841"/>
      <c r="H22" s="3841"/>
      <c r="I22" s="3841"/>
      <c r="J22" s="3841"/>
      <c r="K22" s="3841"/>
      <c r="L22" s="3841"/>
      <c r="M22" s="3841"/>
      <c r="N22" s="3841"/>
      <c r="O22" s="3841"/>
      <c r="P22" s="3841"/>
      <c r="Q22" s="3841"/>
      <c r="R22" s="3841"/>
      <c r="S22" s="3841"/>
      <c r="T22" s="3841"/>
      <c r="U22" s="3841"/>
      <c r="V22" s="3841"/>
      <c r="W22" s="3841"/>
      <c r="X22" s="3819"/>
      <c r="Y22" s="4207" t="s">
        <v>156</v>
      </c>
      <c r="Z22" s="3798"/>
    </row>
    <row r="23" spans="1:27" ht="13.5" customHeight="1">
      <c r="A23" s="4205"/>
      <c r="B23" s="3842" t="s">
        <v>22</v>
      </c>
      <c r="C23" s="3817"/>
      <c r="D23" s="3843">
        <f>+D24</f>
        <v>2230047</v>
      </c>
      <c r="E23" s="3843">
        <f t="shared" ref="E23:T23" si="24">+E24</f>
        <v>0</v>
      </c>
      <c r="F23" s="3843">
        <f t="shared" si="24"/>
        <v>0</v>
      </c>
      <c r="G23" s="3843">
        <f t="shared" si="24"/>
        <v>0</v>
      </c>
      <c r="H23" s="3843">
        <f t="shared" si="24"/>
        <v>0</v>
      </c>
      <c r="I23" s="3843">
        <f t="shared" si="24"/>
        <v>0</v>
      </c>
      <c r="J23" s="3843">
        <f t="shared" si="24"/>
        <v>0</v>
      </c>
      <c r="K23" s="3843">
        <f t="shared" si="24"/>
        <v>0</v>
      </c>
      <c r="L23" s="3843">
        <f t="shared" si="24"/>
        <v>1074883</v>
      </c>
      <c r="M23" s="3843">
        <f t="shared" si="24"/>
        <v>2216506</v>
      </c>
      <c r="N23" s="3843">
        <f t="shared" si="24"/>
        <v>1141623</v>
      </c>
      <c r="O23" s="3843">
        <f t="shared" si="24"/>
        <v>13541</v>
      </c>
      <c r="P23" s="3843">
        <f t="shared" si="24"/>
        <v>0</v>
      </c>
      <c r="Q23" s="3843">
        <f t="shared" si="24"/>
        <v>0</v>
      </c>
      <c r="R23" s="3843">
        <f t="shared" si="24"/>
        <v>0</v>
      </c>
      <c r="S23" s="3843">
        <f t="shared" si="24"/>
        <v>0</v>
      </c>
      <c r="T23" s="3843">
        <f t="shared" si="24"/>
        <v>0</v>
      </c>
      <c r="U23" s="3843"/>
      <c r="V23" s="3843"/>
      <c r="W23" s="3843"/>
      <c r="X23" s="3844">
        <f>+X24</f>
        <v>0</v>
      </c>
      <c r="Y23" s="4207"/>
      <c r="Z23" s="3812">
        <f>+O23+P23+Q23+R23</f>
        <v>13541</v>
      </c>
      <c r="AA23" s="2358"/>
    </row>
    <row r="24" spans="1:27" ht="11.25" customHeight="1">
      <c r="A24" s="4205"/>
      <c r="B24" s="3845" t="s">
        <v>30</v>
      </c>
      <c r="C24" s="4220" t="s">
        <v>157</v>
      </c>
      <c r="D24" s="3846">
        <f t="shared" ref="D24:X24" si="25">+D25</f>
        <v>2230047</v>
      </c>
      <c r="E24" s="3846">
        <f t="shared" si="25"/>
        <v>0</v>
      </c>
      <c r="F24" s="3846">
        <f t="shared" si="25"/>
        <v>0</v>
      </c>
      <c r="G24" s="3847">
        <f t="shared" si="25"/>
        <v>0</v>
      </c>
      <c r="H24" s="3847">
        <f t="shared" si="25"/>
        <v>0</v>
      </c>
      <c r="I24" s="3847">
        <f t="shared" si="25"/>
        <v>0</v>
      </c>
      <c r="J24" s="3846">
        <f t="shared" si="25"/>
        <v>0</v>
      </c>
      <c r="K24" s="3846">
        <f t="shared" si="25"/>
        <v>0</v>
      </c>
      <c r="L24" s="3847">
        <f t="shared" si="25"/>
        <v>1074883</v>
      </c>
      <c r="M24" s="3847">
        <f t="shared" si="25"/>
        <v>2216506</v>
      </c>
      <c r="N24" s="3848">
        <f t="shared" si="25"/>
        <v>1141623</v>
      </c>
      <c r="O24" s="3848">
        <f t="shared" si="25"/>
        <v>13541</v>
      </c>
      <c r="P24" s="3847">
        <f t="shared" si="25"/>
        <v>0</v>
      </c>
      <c r="Q24" s="3847">
        <f t="shared" si="25"/>
        <v>0</v>
      </c>
      <c r="R24" s="3847">
        <f t="shared" si="25"/>
        <v>0</v>
      </c>
      <c r="S24" s="3847">
        <f t="shared" si="25"/>
        <v>0</v>
      </c>
      <c r="T24" s="3847">
        <f t="shared" si="25"/>
        <v>0</v>
      </c>
      <c r="U24" s="3847"/>
      <c r="V24" s="3847"/>
      <c r="W24" s="3847"/>
      <c r="X24" s="3849">
        <f t="shared" si="25"/>
        <v>0</v>
      </c>
      <c r="Y24" s="4207"/>
      <c r="Z24" s="3798"/>
    </row>
    <row r="25" spans="1:27" ht="13.5" customHeight="1">
      <c r="A25" s="4205"/>
      <c r="B25" s="3850" t="s">
        <v>33</v>
      </c>
      <c r="C25" s="4220"/>
      <c r="D25" s="3851">
        <f>M25+O25+P25+Q25+R25+S25+T25+U25+V25+W25</f>
        <v>2230047</v>
      </c>
      <c r="E25" s="3852">
        <f>+F25+G25+H25</f>
        <v>0</v>
      </c>
      <c r="F25" s="3852">
        <v>0</v>
      </c>
      <c r="G25" s="3852">
        <v>0</v>
      </c>
      <c r="H25" s="3852">
        <v>0</v>
      </c>
      <c r="I25" s="3852">
        <v>0</v>
      </c>
      <c r="J25" s="3852">
        <v>0</v>
      </c>
      <c r="K25" s="3852">
        <v>0</v>
      </c>
      <c r="L25" s="3852">
        <f>1125736-50853</f>
        <v>1074883</v>
      </c>
      <c r="M25" s="3852">
        <f>+L25+K25+J25+I25+E25+N25</f>
        <v>2216506</v>
      </c>
      <c r="N25" s="3852">
        <f>1115748+50853-21548-3430</f>
        <v>1141623</v>
      </c>
      <c r="O25" s="3852">
        <f>21548-8005-2</f>
        <v>13541</v>
      </c>
      <c r="P25" s="3852">
        <v>0</v>
      </c>
      <c r="Q25" s="3852">
        <v>0</v>
      </c>
      <c r="R25" s="3852">
        <v>0</v>
      </c>
      <c r="S25" s="3852">
        <v>0</v>
      </c>
      <c r="T25" s="3852">
        <v>0</v>
      </c>
      <c r="U25" s="3852"/>
      <c r="V25" s="3852"/>
      <c r="W25" s="3852"/>
      <c r="X25" s="3853">
        <f>SUM(P25:T25)</f>
        <v>0</v>
      </c>
      <c r="Y25" s="4207"/>
      <c r="Z25" s="3798"/>
    </row>
    <row r="26" spans="1:27" ht="13.5" customHeight="1">
      <c r="A26" s="4206"/>
      <c r="B26" s="3842" t="s">
        <v>34</v>
      </c>
      <c r="C26" s="3817"/>
      <c r="D26" s="3843">
        <f>+D27</f>
        <v>2230047</v>
      </c>
      <c r="E26" s="3843">
        <f t="shared" ref="E26:T27" si="26">+E27</f>
        <v>0</v>
      </c>
      <c r="F26" s="3843">
        <f t="shared" si="26"/>
        <v>0</v>
      </c>
      <c r="G26" s="3843">
        <f t="shared" si="26"/>
        <v>0</v>
      </c>
      <c r="H26" s="3843">
        <f t="shared" si="26"/>
        <v>0</v>
      </c>
      <c r="I26" s="3843">
        <f t="shared" si="26"/>
        <v>0</v>
      </c>
      <c r="J26" s="3843">
        <f t="shared" si="26"/>
        <v>0</v>
      </c>
      <c r="K26" s="3843">
        <f t="shared" si="26"/>
        <v>0</v>
      </c>
      <c r="L26" s="3843">
        <f t="shared" si="26"/>
        <v>1125736</v>
      </c>
      <c r="M26" s="3843">
        <f t="shared" si="26"/>
        <v>2230047</v>
      </c>
      <c r="N26" s="3843">
        <f t="shared" si="26"/>
        <v>1104311</v>
      </c>
      <c r="O26" s="3843">
        <f t="shared" si="26"/>
        <v>0</v>
      </c>
      <c r="P26" s="3843">
        <f t="shared" si="26"/>
        <v>0</v>
      </c>
      <c r="Q26" s="3843">
        <f t="shared" si="26"/>
        <v>0</v>
      </c>
      <c r="R26" s="3843">
        <f t="shared" si="26"/>
        <v>0</v>
      </c>
      <c r="S26" s="3843">
        <f t="shared" si="26"/>
        <v>0</v>
      </c>
      <c r="T26" s="3843">
        <f t="shared" si="26"/>
        <v>0</v>
      </c>
      <c r="U26" s="3843"/>
      <c r="V26" s="3843"/>
      <c r="W26" s="3843"/>
      <c r="X26" s="3854" t="s">
        <v>77</v>
      </c>
      <c r="Y26" s="4218"/>
      <c r="Z26" s="3798"/>
    </row>
    <row r="27" spans="1:27" ht="11.25" customHeight="1">
      <c r="A27" s="4206"/>
      <c r="B27" s="3845" t="s">
        <v>30</v>
      </c>
      <c r="C27" s="4221" t="s">
        <v>158</v>
      </c>
      <c r="D27" s="3846">
        <f>+D28</f>
        <v>2230047</v>
      </c>
      <c r="E27" s="3846">
        <f t="shared" si="26"/>
        <v>0</v>
      </c>
      <c r="F27" s="3846">
        <f t="shared" si="26"/>
        <v>0</v>
      </c>
      <c r="G27" s="3846">
        <f t="shared" si="26"/>
        <v>0</v>
      </c>
      <c r="H27" s="3846">
        <f t="shared" si="26"/>
        <v>0</v>
      </c>
      <c r="I27" s="3846">
        <f t="shared" si="26"/>
        <v>0</v>
      </c>
      <c r="J27" s="3846">
        <f t="shared" si="26"/>
        <v>0</v>
      </c>
      <c r="K27" s="3846">
        <f t="shared" si="26"/>
        <v>0</v>
      </c>
      <c r="L27" s="3846">
        <f t="shared" si="26"/>
        <v>1125736</v>
      </c>
      <c r="M27" s="3846">
        <f t="shared" si="26"/>
        <v>2230047</v>
      </c>
      <c r="N27" s="3846">
        <f t="shared" si="26"/>
        <v>1104311</v>
      </c>
      <c r="O27" s="3846">
        <f t="shared" si="26"/>
        <v>0</v>
      </c>
      <c r="P27" s="3846">
        <f t="shared" si="26"/>
        <v>0</v>
      </c>
      <c r="Q27" s="3846">
        <f t="shared" si="26"/>
        <v>0</v>
      </c>
      <c r="R27" s="3846">
        <f t="shared" si="26"/>
        <v>0</v>
      </c>
      <c r="S27" s="3846">
        <f t="shared" si="26"/>
        <v>0</v>
      </c>
      <c r="T27" s="3846">
        <f t="shared" si="26"/>
        <v>0</v>
      </c>
      <c r="U27" s="3846"/>
      <c r="V27" s="3846"/>
      <c r="W27" s="3846"/>
      <c r="X27" s="3855"/>
      <c r="Y27" s="4218"/>
      <c r="Z27" s="3798"/>
    </row>
    <row r="28" spans="1:27" ht="13.5" customHeight="1">
      <c r="A28" s="4206"/>
      <c r="B28" s="3856" t="s">
        <v>33</v>
      </c>
      <c r="C28" s="4221"/>
      <c r="D28" s="3851">
        <f>M28+O28+P28+Q28+R28+S28+T28+U28+V28+W28</f>
        <v>2230047</v>
      </c>
      <c r="E28" s="3852">
        <f>+F28+G28+H28</f>
        <v>0</v>
      </c>
      <c r="F28" s="3852"/>
      <c r="G28" s="3852">
        <v>0</v>
      </c>
      <c r="H28" s="3852">
        <v>0</v>
      </c>
      <c r="I28" s="3852">
        <v>0</v>
      </c>
      <c r="J28" s="3852">
        <v>0</v>
      </c>
      <c r="K28" s="3852">
        <v>0</v>
      </c>
      <c r="L28" s="3852">
        <v>1125736</v>
      </c>
      <c r="M28" s="3852">
        <f>+L28+K28+J28+I28+E28+N28</f>
        <v>2230047</v>
      </c>
      <c r="N28" s="3852">
        <f>1115748-11435-2</f>
        <v>1104311</v>
      </c>
      <c r="O28" s="3852">
        <v>0</v>
      </c>
      <c r="P28" s="3852">
        <v>0</v>
      </c>
      <c r="Q28" s="3852">
        <v>0</v>
      </c>
      <c r="R28" s="3852">
        <v>0</v>
      </c>
      <c r="S28" s="3852">
        <v>0</v>
      </c>
      <c r="T28" s="3852">
        <v>0</v>
      </c>
      <c r="U28" s="3852"/>
      <c r="V28" s="3852"/>
      <c r="W28" s="3852"/>
      <c r="X28" s="3853"/>
      <c r="Y28" s="4218"/>
      <c r="Z28" s="3798"/>
    </row>
    <row r="29" spans="1:27" ht="25.5" customHeight="1">
      <c r="A29" s="4229" t="s">
        <v>80</v>
      </c>
      <c r="B29" s="3838" t="s">
        <v>159</v>
      </c>
      <c r="C29" s="3839" t="s">
        <v>131</v>
      </c>
      <c r="D29" s="3829"/>
      <c r="E29" s="3829"/>
      <c r="F29" s="3829"/>
      <c r="G29" s="3829"/>
      <c r="H29" s="3829"/>
      <c r="I29" s="3841"/>
      <c r="J29" s="3841"/>
      <c r="K29" s="3841"/>
      <c r="L29" s="3841"/>
      <c r="M29" s="3841"/>
      <c r="N29" s="3841"/>
      <c r="O29" s="3841"/>
      <c r="P29" s="3841"/>
      <c r="Q29" s="3841"/>
      <c r="R29" s="3841"/>
      <c r="S29" s="3841"/>
      <c r="T29" s="3841"/>
      <c r="U29" s="3841"/>
      <c r="V29" s="3841"/>
      <c r="W29" s="3841"/>
      <c r="X29" s="3819"/>
      <c r="Y29" s="4207" t="s">
        <v>160</v>
      </c>
      <c r="Z29" s="3798"/>
    </row>
    <row r="30" spans="1:27" ht="13.5" customHeight="1">
      <c r="A30" s="4230"/>
      <c r="B30" s="3842" t="s">
        <v>22</v>
      </c>
      <c r="C30" s="3817"/>
      <c r="D30" s="3857">
        <f t="shared" ref="D30:O30" si="27">+D31+D34</f>
        <v>4964084</v>
      </c>
      <c r="E30" s="3857">
        <f t="shared" si="27"/>
        <v>0</v>
      </c>
      <c r="F30" s="3857">
        <f t="shared" si="27"/>
        <v>13683</v>
      </c>
      <c r="G30" s="3857">
        <f t="shared" si="27"/>
        <v>777748</v>
      </c>
      <c r="H30" s="3857">
        <f t="shared" si="27"/>
        <v>1646616</v>
      </c>
      <c r="I30" s="3857">
        <f t="shared" si="27"/>
        <v>0</v>
      </c>
      <c r="J30" s="3857">
        <f t="shared" si="27"/>
        <v>0</v>
      </c>
      <c r="K30" s="3857">
        <f t="shared" si="27"/>
        <v>43489</v>
      </c>
      <c r="L30" s="3857">
        <f t="shared" si="27"/>
        <v>1828151</v>
      </c>
      <c r="M30" s="3857">
        <f t="shared" ref="M30" si="28">+M31+M34</f>
        <v>3787322</v>
      </c>
      <c r="N30" s="3857">
        <f t="shared" si="27"/>
        <v>1915682</v>
      </c>
      <c r="O30" s="3857">
        <f t="shared" si="27"/>
        <v>1176762</v>
      </c>
      <c r="P30" s="3857"/>
      <c r="Q30" s="3857"/>
      <c r="R30" s="3857"/>
      <c r="S30" s="3857"/>
      <c r="T30" s="3857"/>
      <c r="U30" s="3857"/>
      <c r="V30" s="3857"/>
      <c r="W30" s="3857"/>
      <c r="X30" s="3844">
        <f>+X31+X34</f>
        <v>0</v>
      </c>
      <c r="Y30" s="4207"/>
      <c r="Z30" s="3812">
        <f>+O30+P30+Q30+R30</f>
        <v>1176762</v>
      </c>
      <c r="AA30" s="2358"/>
    </row>
    <row r="31" spans="1:27" ht="13.5" customHeight="1">
      <c r="A31" s="4230"/>
      <c r="B31" s="3858" t="s">
        <v>36</v>
      </c>
      <c r="C31" s="4209" t="s">
        <v>161</v>
      </c>
      <c r="D31" s="3847">
        <f t="shared" ref="D31:O31" si="29">+D32+D33</f>
        <v>744612</v>
      </c>
      <c r="E31" s="3847">
        <f t="shared" si="29"/>
        <v>0</v>
      </c>
      <c r="F31" s="3847">
        <f t="shared" si="29"/>
        <v>2052</v>
      </c>
      <c r="G31" s="3847">
        <f t="shared" si="29"/>
        <v>116662</v>
      </c>
      <c r="H31" s="3847">
        <f t="shared" si="29"/>
        <v>246992</v>
      </c>
      <c r="I31" s="3847">
        <f t="shared" si="29"/>
        <v>0</v>
      </c>
      <c r="J31" s="3847">
        <f t="shared" si="29"/>
        <v>0</v>
      </c>
      <c r="K31" s="3847">
        <f t="shared" si="29"/>
        <v>6523</v>
      </c>
      <c r="L31" s="3847">
        <f t="shared" si="29"/>
        <v>274223</v>
      </c>
      <c r="M31" s="3847">
        <f t="shared" ref="M31" si="30">+M32+M33</f>
        <v>568098</v>
      </c>
      <c r="N31" s="3847">
        <f t="shared" si="29"/>
        <v>287352</v>
      </c>
      <c r="O31" s="3847">
        <f t="shared" si="29"/>
        <v>176514</v>
      </c>
      <c r="P31" s="3847"/>
      <c r="Q31" s="3847"/>
      <c r="R31" s="3847"/>
      <c r="S31" s="3847"/>
      <c r="T31" s="3847"/>
      <c r="U31" s="3847"/>
      <c r="V31" s="3847"/>
      <c r="W31" s="3847"/>
      <c r="X31" s="3849">
        <f>+X32+X33</f>
        <v>0</v>
      </c>
      <c r="Y31" s="4207"/>
      <c r="Z31" s="3798"/>
    </row>
    <row r="32" spans="1:27" ht="13.5" hidden="1" customHeight="1">
      <c r="A32" s="4230"/>
      <c r="B32" s="3850" t="s">
        <v>24</v>
      </c>
      <c r="C32" s="4210"/>
      <c r="D32" s="3851">
        <f>M32+O32+P32+Q32+R32+S32+T32+U32+V32+W32</f>
        <v>0</v>
      </c>
      <c r="E32" s="3852">
        <f>+F32+G32+H32</f>
        <v>0</v>
      </c>
      <c r="F32" s="3852">
        <v>0</v>
      </c>
      <c r="G32" s="3859"/>
      <c r="H32" s="3859"/>
      <c r="I32" s="3859"/>
      <c r="J32" s="3859">
        <v>0</v>
      </c>
      <c r="K32" s="3852">
        <v>0</v>
      </c>
      <c r="L32" s="3852">
        <v>0</v>
      </c>
      <c r="M32" s="3852">
        <f>+L32+K32+J32+I32+E32+N32</f>
        <v>0</v>
      </c>
      <c r="N32" s="3852"/>
      <c r="O32" s="3852"/>
      <c r="P32" s="3852"/>
      <c r="Q32" s="3852"/>
      <c r="R32" s="3852"/>
      <c r="S32" s="3852"/>
      <c r="T32" s="3852"/>
      <c r="U32" s="3852"/>
      <c r="V32" s="3852"/>
      <c r="W32" s="3852"/>
      <c r="X32" s="3853"/>
      <c r="Y32" s="4207"/>
      <c r="Z32" s="3798"/>
    </row>
    <row r="33" spans="1:26" ht="12.75" customHeight="1">
      <c r="A33" s="4230"/>
      <c r="B33" s="3850" t="s">
        <v>25</v>
      </c>
      <c r="C33" s="4210"/>
      <c r="D33" s="3851">
        <f>M33+O33+P33+Q33+R33+S33+T33+U33+V33+W33</f>
        <v>744612</v>
      </c>
      <c r="E33" s="3852">
        <v>0</v>
      </c>
      <c r="F33" s="3852">
        <v>2052</v>
      </c>
      <c r="G33" s="3852">
        <v>116662</v>
      </c>
      <c r="H33" s="3859">
        <v>246992</v>
      </c>
      <c r="I33" s="3859">
        <v>0</v>
      </c>
      <c r="J33" s="3852">
        <v>0</v>
      </c>
      <c r="K33" s="3852">
        <v>6523</v>
      </c>
      <c r="L33" s="3852">
        <v>274223</v>
      </c>
      <c r="M33" s="3852">
        <f>+L33+K33+J33+I33+E33+N33</f>
        <v>568098</v>
      </c>
      <c r="N33" s="3852">
        <f>337614-40727-9535</f>
        <v>287352</v>
      </c>
      <c r="O33" s="3852">
        <f>131640+40727+9028-4881</f>
        <v>176514</v>
      </c>
      <c r="P33" s="3852"/>
      <c r="Q33" s="3852"/>
      <c r="R33" s="3852"/>
      <c r="S33" s="3852"/>
      <c r="T33" s="3852"/>
      <c r="U33" s="3852"/>
      <c r="V33" s="3852"/>
      <c r="W33" s="3852"/>
      <c r="X33" s="3853">
        <f>SUM(P33:T33)</f>
        <v>0</v>
      </c>
      <c r="Y33" s="4207"/>
      <c r="Z33" s="3798"/>
    </row>
    <row r="34" spans="1:26" ht="13.5" customHeight="1">
      <c r="A34" s="4230"/>
      <c r="B34" s="3845" t="s">
        <v>30</v>
      </c>
      <c r="C34" s="4210"/>
      <c r="D34" s="3846">
        <f t="shared" ref="D34:O34" si="31">+D35</f>
        <v>4219472</v>
      </c>
      <c r="E34" s="3846">
        <f t="shared" si="31"/>
        <v>0</v>
      </c>
      <c r="F34" s="3846">
        <f t="shared" si="31"/>
        <v>11631</v>
      </c>
      <c r="G34" s="3846">
        <f t="shared" si="31"/>
        <v>661086</v>
      </c>
      <c r="H34" s="3846">
        <f t="shared" si="31"/>
        <v>1399624</v>
      </c>
      <c r="I34" s="3846">
        <f t="shared" si="31"/>
        <v>0</v>
      </c>
      <c r="J34" s="3846">
        <f t="shared" si="31"/>
        <v>0</v>
      </c>
      <c r="K34" s="3846">
        <f t="shared" si="31"/>
        <v>36966</v>
      </c>
      <c r="L34" s="3846">
        <f t="shared" si="31"/>
        <v>1553928</v>
      </c>
      <c r="M34" s="3846">
        <f t="shared" si="31"/>
        <v>3219224</v>
      </c>
      <c r="N34" s="3846">
        <f t="shared" si="31"/>
        <v>1628330</v>
      </c>
      <c r="O34" s="3846">
        <f t="shared" si="31"/>
        <v>1000248</v>
      </c>
      <c r="P34" s="3846"/>
      <c r="Q34" s="3846"/>
      <c r="R34" s="3846"/>
      <c r="S34" s="3846"/>
      <c r="T34" s="3846"/>
      <c r="U34" s="3846"/>
      <c r="V34" s="3846"/>
      <c r="W34" s="3846"/>
      <c r="X34" s="3855">
        <f>+X35</f>
        <v>0</v>
      </c>
      <c r="Y34" s="4207"/>
      <c r="Z34" s="3798"/>
    </row>
    <row r="35" spans="1:26" ht="13.5" customHeight="1" collapsed="1">
      <c r="A35" s="4230"/>
      <c r="B35" s="3850" t="s">
        <v>33</v>
      </c>
      <c r="C35" s="4210"/>
      <c r="D35" s="3851">
        <f>M35+O35+P35+Q35+R35+S35+T35+U35+V35+W35</f>
        <v>4219472</v>
      </c>
      <c r="E35" s="3852">
        <v>0</v>
      </c>
      <c r="F35" s="3852">
        <v>11631</v>
      </c>
      <c r="G35" s="3859">
        <v>661086</v>
      </c>
      <c r="H35" s="3859">
        <v>1399624</v>
      </c>
      <c r="I35" s="3859">
        <v>0</v>
      </c>
      <c r="J35" s="3859">
        <v>0</v>
      </c>
      <c r="K35" s="3859">
        <v>36966</v>
      </c>
      <c r="L35" s="3852">
        <v>1553928</v>
      </c>
      <c r="M35" s="3852">
        <f>+L35+K35+J35+I35+E35+N35</f>
        <v>3219224</v>
      </c>
      <c r="N35" s="3852">
        <f>1913146-230784-54032</f>
        <v>1628330</v>
      </c>
      <c r="O35" s="3852">
        <f>745960+230784+51159-27655</f>
        <v>1000248</v>
      </c>
      <c r="P35" s="3852"/>
      <c r="Q35" s="3852"/>
      <c r="R35" s="3852"/>
      <c r="S35" s="3852"/>
      <c r="T35" s="3852"/>
      <c r="U35" s="3852"/>
      <c r="V35" s="3852"/>
      <c r="W35" s="3852"/>
      <c r="X35" s="3853">
        <f>SUM(P35:T35)</f>
        <v>0</v>
      </c>
      <c r="Y35" s="4207"/>
      <c r="Z35" s="3812"/>
    </row>
    <row r="36" spans="1:26" ht="12.75" customHeight="1">
      <c r="A36" s="4231"/>
      <c r="B36" s="3842" t="s">
        <v>34</v>
      </c>
      <c r="C36" s="3817"/>
      <c r="D36" s="3843">
        <f t="shared" ref="D36:O36" si="32">+D37+D39</f>
        <v>4964084</v>
      </c>
      <c r="E36" s="3843">
        <f t="shared" si="32"/>
        <v>0</v>
      </c>
      <c r="F36" s="3843">
        <f t="shared" si="32"/>
        <v>13683</v>
      </c>
      <c r="G36" s="3843">
        <f t="shared" si="32"/>
        <v>777748</v>
      </c>
      <c r="H36" s="3843">
        <f t="shared" si="32"/>
        <v>1646616</v>
      </c>
      <c r="I36" s="3843">
        <f t="shared" si="32"/>
        <v>0</v>
      </c>
      <c r="J36" s="3843">
        <f t="shared" si="32"/>
        <v>0</v>
      </c>
      <c r="K36" s="3843">
        <f t="shared" si="32"/>
        <v>406023</v>
      </c>
      <c r="L36" s="3843">
        <f t="shared" si="32"/>
        <v>1542423</v>
      </c>
      <c r="M36" s="3843">
        <f t="shared" ref="M36" si="33">+M37+M39</f>
        <v>3838481</v>
      </c>
      <c r="N36" s="3843">
        <f t="shared" si="32"/>
        <v>1890035</v>
      </c>
      <c r="O36" s="3843">
        <f t="shared" si="32"/>
        <v>1125603</v>
      </c>
      <c r="P36" s="3843"/>
      <c r="Q36" s="3843"/>
      <c r="R36" s="3843"/>
      <c r="S36" s="3843"/>
      <c r="T36" s="3843"/>
      <c r="U36" s="3843"/>
      <c r="V36" s="3843"/>
      <c r="W36" s="3843"/>
      <c r="X36" s="4214" t="s">
        <v>77</v>
      </c>
      <c r="Y36" s="4218"/>
      <c r="Z36" s="3812"/>
    </row>
    <row r="37" spans="1:26" ht="13.5" customHeight="1">
      <c r="A37" s="4231"/>
      <c r="B37" s="3858" t="s">
        <v>36</v>
      </c>
      <c r="C37" s="4211" t="s">
        <v>158</v>
      </c>
      <c r="D37" s="3846">
        <f>+D38</f>
        <v>744612</v>
      </c>
      <c r="E37" s="3846">
        <f t="shared" ref="E37:O37" si="34">+E38</f>
        <v>0</v>
      </c>
      <c r="F37" s="3846">
        <f t="shared" si="34"/>
        <v>2052</v>
      </c>
      <c r="G37" s="3846">
        <f t="shared" si="34"/>
        <v>116662</v>
      </c>
      <c r="H37" s="3846">
        <f t="shared" si="34"/>
        <v>246992</v>
      </c>
      <c r="I37" s="3846">
        <f t="shared" si="34"/>
        <v>0</v>
      </c>
      <c r="J37" s="3846">
        <f t="shared" si="34"/>
        <v>0</v>
      </c>
      <c r="K37" s="3846">
        <f t="shared" si="34"/>
        <v>6523</v>
      </c>
      <c r="L37" s="3846">
        <f t="shared" si="34"/>
        <v>274223</v>
      </c>
      <c r="M37" s="3846">
        <f t="shared" si="34"/>
        <v>568098</v>
      </c>
      <c r="N37" s="3846">
        <f t="shared" si="34"/>
        <v>287352</v>
      </c>
      <c r="O37" s="3846">
        <f t="shared" si="34"/>
        <v>176514</v>
      </c>
      <c r="P37" s="3846"/>
      <c r="Q37" s="3846"/>
      <c r="R37" s="3846"/>
      <c r="S37" s="3846"/>
      <c r="T37" s="3846"/>
      <c r="U37" s="3846"/>
      <c r="V37" s="3846"/>
      <c r="W37" s="3846"/>
      <c r="X37" s="4214"/>
      <c r="Y37" s="4218"/>
      <c r="Z37" s="3798"/>
    </row>
    <row r="38" spans="1:26" ht="13.5" customHeight="1">
      <c r="A38" s="4231"/>
      <c r="B38" s="3850" t="s">
        <v>25</v>
      </c>
      <c r="C38" s="4210"/>
      <c r="D38" s="3851">
        <f>M38+O38+P38+Q38+R38+S38+T38+U38+V38+W38</f>
        <v>744612</v>
      </c>
      <c r="E38" s="3852">
        <v>0</v>
      </c>
      <c r="F38" s="3852">
        <v>2052</v>
      </c>
      <c r="G38" s="3852">
        <v>116662</v>
      </c>
      <c r="H38" s="3859">
        <v>246992</v>
      </c>
      <c r="I38" s="3859">
        <v>0</v>
      </c>
      <c r="J38" s="3851">
        <v>0</v>
      </c>
      <c r="K38" s="3851">
        <v>6523</v>
      </c>
      <c r="L38" s="3851">
        <v>274223</v>
      </c>
      <c r="M38" s="3852">
        <f>+L38+K38+J38+I38+E38+N38</f>
        <v>568098</v>
      </c>
      <c r="N38" s="3851">
        <f>337614-40727-9535</f>
        <v>287352</v>
      </c>
      <c r="O38" s="3851">
        <f>131640+40727+9028-4881</f>
        <v>176514</v>
      </c>
      <c r="P38" s="3851"/>
      <c r="Q38" s="3851"/>
      <c r="R38" s="3851"/>
      <c r="S38" s="3851"/>
      <c r="T38" s="3851"/>
      <c r="U38" s="3851"/>
      <c r="V38" s="3851"/>
      <c r="W38" s="3851"/>
      <c r="X38" s="4214"/>
      <c r="Y38" s="4218"/>
      <c r="Z38" s="3798"/>
    </row>
    <row r="39" spans="1:26" ht="12" customHeight="1">
      <c r="A39" s="4231"/>
      <c r="B39" s="3845" t="s">
        <v>30</v>
      </c>
      <c r="C39" s="4212"/>
      <c r="D39" s="3846">
        <f t="shared" ref="D39:O39" si="35">+D40</f>
        <v>4219472</v>
      </c>
      <c r="E39" s="3846">
        <f t="shared" si="35"/>
        <v>0</v>
      </c>
      <c r="F39" s="3846">
        <f t="shared" si="35"/>
        <v>11631</v>
      </c>
      <c r="G39" s="3846">
        <f t="shared" si="35"/>
        <v>661086</v>
      </c>
      <c r="H39" s="3846">
        <f t="shared" si="35"/>
        <v>1399624</v>
      </c>
      <c r="I39" s="3846">
        <f t="shared" si="35"/>
        <v>0</v>
      </c>
      <c r="J39" s="3846">
        <f t="shared" si="35"/>
        <v>0</v>
      </c>
      <c r="K39" s="3846">
        <f t="shared" si="35"/>
        <v>399500</v>
      </c>
      <c r="L39" s="3846">
        <f t="shared" si="35"/>
        <v>1268200</v>
      </c>
      <c r="M39" s="3846">
        <f t="shared" si="35"/>
        <v>3270383</v>
      </c>
      <c r="N39" s="3846">
        <f t="shared" si="35"/>
        <v>1602683</v>
      </c>
      <c r="O39" s="3846">
        <f t="shared" si="35"/>
        <v>949089</v>
      </c>
      <c r="P39" s="3846"/>
      <c r="Q39" s="3846"/>
      <c r="R39" s="3846"/>
      <c r="S39" s="3846"/>
      <c r="T39" s="3846"/>
      <c r="U39" s="3846"/>
      <c r="V39" s="3846"/>
      <c r="W39" s="3846"/>
      <c r="X39" s="4214"/>
      <c r="Y39" s="4218"/>
      <c r="Z39" s="3798"/>
    </row>
    <row r="40" spans="1:26" ht="13.5" customHeight="1">
      <c r="A40" s="4231"/>
      <c r="B40" s="3856" t="s">
        <v>33</v>
      </c>
      <c r="C40" s="4212"/>
      <c r="D40" s="3851">
        <f>M40+O40+P40+Q40+R40+S40+T40+U40+V40+W40</f>
        <v>4219472</v>
      </c>
      <c r="E40" s="3852">
        <v>0</v>
      </c>
      <c r="F40" s="3852">
        <v>11631</v>
      </c>
      <c r="G40" s="3859">
        <v>661086</v>
      </c>
      <c r="H40" s="3859">
        <v>1399624</v>
      </c>
      <c r="I40" s="3859">
        <v>0</v>
      </c>
      <c r="J40" s="3852">
        <v>0</v>
      </c>
      <c r="K40" s="3852">
        <v>399500</v>
      </c>
      <c r="L40" s="3852">
        <v>1268200</v>
      </c>
      <c r="M40" s="3852">
        <f>+L40+K40+J40+I40+E40+N40</f>
        <v>3270383</v>
      </c>
      <c r="N40" s="3852">
        <f>1836340-230784-2873</f>
        <v>1602683</v>
      </c>
      <c r="O40" s="3852">
        <f>745960+230784-27655</f>
        <v>949089</v>
      </c>
      <c r="P40" s="3852"/>
      <c r="Q40" s="3852"/>
      <c r="R40" s="3852"/>
      <c r="S40" s="3852"/>
      <c r="T40" s="3852"/>
      <c r="U40" s="3852"/>
      <c r="V40" s="3852"/>
      <c r="W40" s="3852"/>
      <c r="X40" s="4214"/>
      <c r="Y40" s="4218"/>
      <c r="Z40" s="3798"/>
    </row>
    <row r="41" spans="1:26" hidden="1">
      <c r="A41" s="4229"/>
      <c r="B41" s="3838"/>
      <c r="C41" s="3839" t="s">
        <v>131</v>
      </c>
      <c r="D41" s="3829"/>
      <c r="E41" s="3829"/>
      <c r="F41" s="3829"/>
      <c r="G41" s="3829"/>
      <c r="H41" s="3829"/>
      <c r="I41" s="3841"/>
      <c r="J41" s="3841"/>
      <c r="K41" s="3841"/>
      <c r="L41" s="3841"/>
      <c r="M41" s="3841"/>
      <c r="N41" s="3841"/>
      <c r="O41" s="3841"/>
      <c r="P41" s="3841"/>
      <c r="Q41" s="3841"/>
      <c r="R41" s="3841"/>
      <c r="S41" s="3841"/>
      <c r="T41" s="3841"/>
      <c r="U41" s="3841"/>
      <c r="V41" s="3841"/>
      <c r="W41" s="3841"/>
      <c r="X41" s="3819"/>
      <c r="Y41" s="4207" t="s">
        <v>160</v>
      </c>
      <c r="Z41" s="3798"/>
    </row>
    <row r="42" spans="1:26" ht="13.5" hidden="1" customHeight="1">
      <c r="A42" s="4230"/>
      <c r="B42" s="3842" t="s">
        <v>22</v>
      </c>
      <c r="C42" s="3817"/>
      <c r="D42" s="3857">
        <f t="shared" ref="D42:N42" si="36">+D43+D46</f>
        <v>0</v>
      </c>
      <c r="E42" s="3857">
        <f t="shared" si="36"/>
        <v>0</v>
      </c>
      <c r="F42" s="3857">
        <f t="shared" si="36"/>
        <v>0</v>
      </c>
      <c r="G42" s="3857">
        <f t="shared" si="36"/>
        <v>0</v>
      </c>
      <c r="H42" s="3857">
        <f t="shared" si="36"/>
        <v>0</v>
      </c>
      <c r="I42" s="3857">
        <f t="shared" si="36"/>
        <v>0</v>
      </c>
      <c r="J42" s="3857">
        <f t="shared" si="36"/>
        <v>0</v>
      </c>
      <c r="K42" s="3857">
        <f t="shared" si="36"/>
        <v>0</v>
      </c>
      <c r="L42" s="3857">
        <f t="shared" si="36"/>
        <v>0</v>
      </c>
      <c r="M42" s="3857">
        <f t="shared" ref="M42" si="37">+M43+M46</f>
        <v>0</v>
      </c>
      <c r="N42" s="3857">
        <f t="shared" si="36"/>
        <v>0</v>
      </c>
      <c r="O42" s="3857"/>
      <c r="P42" s="3857"/>
      <c r="Q42" s="3857"/>
      <c r="R42" s="3857"/>
      <c r="S42" s="3857"/>
      <c r="T42" s="3857"/>
      <c r="U42" s="3857"/>
      <c r="V42" s="3857"/>
      <c r="W42" s="3857"/>
      <c r="X42" s="3844">
        <f>+X43+X46</f>
        <v>0</v>
      </c>
      <c r="Y42" s="4207"/>
      <c r="Z42" s="3812">
        <f>+O42+P42+Q42+R42</f>
        <v>0</v>
      </c>
    </row>
    <row r="43" spans="1:26" ht="13.5" hidden="1" customHeight="1">
      <c r="A43" s="4230"/>
      <c r="B43" s="3858" t="s">
        <v>36</v>
      </c>
      <c r="C43" s="4232" t="s">
        <v>462</v>
      </c>
      <c r="D43" s="3847">
        <f t="shared" ref="D43:N43" si="38">+D44+D45</f>
        <v>0</v>
      </c>
      <c r="E43" s="3847">
        <f t="shared" si="38"/>
        <v>0</v>
      </c>
      <c r="F43" s="3847">
        <f t="shared" si="38"/>
        <v>0</v>
      </c>
      <c r="G43" s="3847">
        <f t="shared" si="38"/>
        <v>0</v>
      </c>
      <c r="H43" s="3847">
        <f t="shared" si="38"/>
        <v>0</v>
      </c>
      <c r="I43" s="3847">
        <f t="shared" si="38"/>
        <v>0</v>
      </c>
      <c r="J43" s="3847">
        <f t="shared" si="38"/>
        <v>0</v>
      </c>
      <c r="K43" s="3847">
        <f t="shared" si="38"/>
        <v>0</v>
      </c>
      <c r="L43" s="3847">
        <f t="shared" si="38"/>
        <v>0</v>
      </c>
      <c r="M43" s="3847">
        <f t="shared" ref="M43" si="39">+M44+M45</f>
        <v>0</v>
      </c>
      <c r="N43" s="3847">
        <f t="shared" si="38"/>
        <v>0</v>
      </c>
      <c r="O43" s="3847"/>
      <c r="P43" s="3847"/>
      <c r="Q43" s="3847"/>
      <c r="R43" s="3847"/>
      <c r="S43" s="3847"/>
      <c r="T43" s="3847"/>
      <c r="U43" s="3847"/>
      <c r="V43" s="3847"/>
      <c r="W43" s="3847"/>
      <c r="X43" s="3849">
        <f>+X44+X45</f>
        <v>0</v>
      </c>
      <c r="Y43" s="4207"/>
      <c r="Z43" s="3798"/>
    </row>
    <row r="44" spans="1:26" ht="13.5" hidden="1" customHeight="1">
      <c r="A44" s="4230"/>
      <c r="B44" s="3850" t="s">
        <v>24</v>
      </c>
      <c r="C44" s="4233"/>
      <c r="D44" s="3851">
        <f t="shared" ref="D44:D45" si="40">SUM(M44:R44)</f>
        <v>0</v>
      </c>
      <c r="E44" s="3852">
        <f>+F44+G44+H44</f>
        <v>0</v>
      </c>
      <c r="F44" s="3852"/>
      <c r="G44" s="3859"/>
      <c r="H44" s="3859"/>
      <c r="I44" s="3859"/>
      <c r="J44" s="3859">
        <v>0</v>
      </c>
      <c r="K44" s="3852">
        <v>0</v>
      </c>
      <c r="L44" s="3852">
        <v>0</v>
      </c>
      <c r="M44" s="3852">
        <f>+L44+K44+J44+I44+E44</f>
        <v>0</v>
      </c>
      <c r="N44" s="3852"/>
      <c r="O44" s="3852"/>
      <c r="P44" s="3852"/>
      <c r="Q44" s="3852"/>
      <c r="R44" s="3852"/>
      <c r="S44" s="3852"/>
      <c r="T44" s="3852"/>
      <c r="U44" s="3852"/>
      <c r="V44" s="3852"/>
      <c r="W44" s="3852"/>
      <c r="X44" s="3853">
        <f>SUM(P44:W44)</f>
        <v>0</v>
      </c>
      <c r="Y44" s="4207"/>
      <c r="Z44" s="3798"/>
    </row>
    <row r="45" spans="1:26" ht="12.75" hidden="1" customHeight="1">
      <c r="A45" s="4230"/>
      <c r="B45" s="3850" t="s">
        <v>25</v>
      </c>
      <c r="C45" s="4233"/>
      <c r="D45" s="3851">
        <f t="shared" si="40"/>
        <v>0</v>
      </c>
      <c r="E45" s="3852"/>
      <c r="F45" s="3852"/>
      <c r="G45" s="3852"/>
      <c r="H45" s="3852"/>
      <c r="I45" s="3859"/>
      <c r="J45" s="3852"/>
      <c r="K45" s="3852"/>
      <c r="L45" s="3852"/>
      <c r="M45" s="3852">
        <f>+L45+K45+J45+I45+E45</f>
        <v>0</v>
      </c>
      <c r="N45" s="3852"/>
      <c r="O45" s="3852"/>
      <c r="P45" s="3852"/>
      <c r="Q45" s="3852"/>
      <c r="R45" s="3852"/>
      <c r="S45" s="3852"/>
      <c r="T45" s="3852"/>
      <c r="U45" s="3852"/>
      <c r="V45" s="3852"/>
      <c r="W45" s="3852"/>
      <c r="X45" s="3853">
        <f>SUM(P45:W45)</f>
        <v>0</v>
      </c>
      <c r="Y45" s="4207"/>
      <c r="Z45" s="3798"/>
    </row>
    <row r="46" spans="1:26" ht="13.5" hidden="1" customHeight="1">
      <c r="A46" s="4230"/>
      <c r="B46" s="3858" t="s">
        <v>30</v>
      </c>
      <c r="C46" s="4233"/>
      <c r="D46" s="3846">
        <f>+D47</f>
        <v>0</v>
      </c>
      <c r="E46" s="3846">
        <f t="shared" ref="E46:X46" si="41">+E47</f>
        <v>0</v>
      </c>
      <c r="F46" s="3846">
        <f t="shared" si="41"/>
        <v>0</v>
      </c>
      <c r="G46" s="3846">
        <f t="shared" si="41"/>
        <v>0</v>
      </c>
      <c r="H46" s="3846">
        <f t="shared" si="41"/>
        <v>0</v>
      </c>
      <c r="I46" s="3847">
        <f t="shared" si="41"/>
        <v>0</v>
      </c>
      <c r="J46" s="3846">
        <f t="shared" si="41"/>
        <v>0</v>
      </c>
      <c r="K46" s="3846">
        <f t="shared" si="41"/>
        <v>0</v>
      </c>
      <c r="L46" s="3846">
        <f t="shared" si="41"/>
        <v>0</v>
      </c>
      <c r="M46" s="3846">
        <f t="shared" si="41"/>
        <v>0</v>
      </c>
      <c r="N46" s="3846">
        <f t="shared" si="41"/>
        <v>0</v>
      </c>
      <c r="O46" s="3846"/>
      <c r="P46" s="3846"/>
      <c r="Q46" s="3846"/>
      <c r="R46" s="3846"/>
      <c r="S46" s="3846"/>
      <c r="T46" s="3846"/>
      <c r="U46" s="3846"/>
      <c r="V46" s="3846"/>
      <c r="W46" s="3846"/>
      <c r="X46" s="3855">
        <f t="shared" si="41"/>
        <v>0</v>
      </c>
      <c r="Y46" s="4207"/>
      <c r="Z46" s="3798"/>
    </row>
    <row r="47" spans="1:26" ht="13.5" hidden="1" customHeight="1" collapsed="1">
      <c r="A47" s="4230"/>
      <c r="B47" s="3850" t="s">
        <v>33</v>
      </c>
      <c r="C47" s="4233"/>
      <c r="D47" s="3851">
        <f>SUM(M47:R47)</f>
        <v>0</v>
      </c>
      <c r="E47" s="3852"/>
      <c r="F47" s="3852"/>
      <c r="G47" s="3852"/>
      <c r="H47" s="3852"/>
      <c r="I47" s="3859"/>
      <c r="J47" s="3859"/>
      <c r="K47" s="3852"/>
      <c r="L47" s="3852"/>
      <c r="M47" s="3852"/>
      <c r="N47" s="3852"/>
      <c r="O47" s="3852"/>
      <c r="P47" s="3852"/>
      <c r="Q47" s="3852"/>
      <c r="R47" s="3852"/>
      <c r="S47" s="3852"/>
      <c r="T47" s="3852"/>
      <c r="U47" s="3852"/>
      <c r="V47" s="3852"/>
      <c r="W47" s="3852"/>
      <c r="X47" s="3853">
        <f>SUM(P47:W47)</f>
        <v>0</v>
      </c>
      <c r="Y47" s="4207"/>
      <c r="Z47" s="3798"/>
    </row>
    <row r="48" spans="1:26" ht="13.5" hidden="1" customHeight="1">
      <c r="A48" s="4231"/>
      <c r="B48" s="3842" t="s">
        <v>34</v>
      </c>
      <c r="C48" s="3817"/>
      <c r="D48" s="3843">
        <f t="shared" ref="D48:N48" si="42">+D49+D51</f>
        <v>0</v>
      </c>
      <c r="E48" s="3843">
        <f t="shared" si="42"/>
        <v>0</v>
      </c>
      <c r="F48" s="3843">
        <f t="shared" si="42"/>
        <v>0</v>
      </c>
      <c r="G48" s="3843">
        <f t="shared" si="42"/>
        <v>0</v>
      </c>
      <c r="H48" s="3843">
        <f t="shared" si="42"/>
        <v>0</v>
      </c>
      <c r="I48" s="3857">
        <f t="shared" si="42"/>
        <v>0</v>
      </c>
      <c r="J48" s="3843">
        <f t="shared" si="42"/>
        <v>0</v>
      </c>
      <c r="K48" s="3843">
        <f t="shared" si="42"/>
        <v>0</v>
      </c>
      <c r="L48" s="3843">
        <f t="shared" si="42"/>
        <v>0</v>
      </c>
      <c r="M48" s="3843">
        <f t="shared" ref="M48" si="43">+M49+M51</f>
        <v>0</v>
      </c>
      <c r="N48" s="3843">
        <f t="shared" si="42"/>
        <v>0</v>
      </c>
      <c r="O48" s="3843"/>
      <c r="P48" s="3843"/>
      <c r="Q48" s="3843"/>
      <c r="R48" s="3843"/>
      <c r="S48" s="3843"/>
      <c r="T48" s="3843"/>
      <c r="U48" s="3843"/>
      <c r="V48" s="3843"/>
      <c r="W48" s="3843"/>
      <c r="X48" s="4214" t="s">
        <v>77</v>
      </c>
      <c r="Y48" s="4218"/>
      <c r="Z48" s="3798"/>
    </row>
    <row r="49" spans="1:27" ht="13.5" hidden="1" customHeight="1">
      <c r="A49" s="4231"/>
      <c r="B49" s="3858" t="s">
        <v>36</v>
      </c>
      <c r="C49" s="4234" t="s">
        <v>461</v>
      </c>
      <c r="D49" s="3846">
        <f>+D50</f>
        <v>0</v>
      </c>
      <c r="E49" s="3846">
        <f t="shared" ref="E49:N49" si="44">+E50</f>
        <v>0</v>
      </c>
      <c r="F49" s="3846">
        <f t="shared" si="44"/>
        <v>0</v>
      </c>
      <c r="G49" s="3846">
        <f t="shared" si="44"/>
        <v>0</v>
      </c>
      <c r="H49" s="3846">
        <f t="shared" si="44"/>
        <v>0</v>
      </c>
      <c r="I49" s="3847">
        <f t="shared" si="44"/>
        <v>0</v>
      </c>
      <c r="J49" s="3846">
        <f t="shared" si="44"/>
        <v>0</v>
      </c>
      <c r="K49" s="3846">
        <f t="shared" si="44"/>
        <v>0</v>
      </c>
      <c r="L49" s="3846">
        <f t="shared" si="44"/>
        <v>0</v>
      </c>
      <c r="M49" s="3846">
        <f t="shared" si="44"/>
        <v>0</v>
      </c>
      <c r="N49" s="3846">
        <f t="shared" si="44"/>
        <v>0</v>
      </c>
      <c r="O49" s="3846"/>
      <c r="P49" s="3846"/>
      <c r="Q49" s="3846"/>
      <c r="R49" s="3846"/>
      <c r="S49" s="3846"/>
      <c r="T49" s="3846"/>
      <c r="U49" s="3846"/>
      <c r="V49" s="3846"/>
      <c r="W49" s="3846"/>
      <c r="X49" s="4214"/>
      <c r="Y49" s="4218"/>
      <c r="Z49" s="3798"/>
    </row>
    <row r="50" spans="1:27" ht="13.5" hidden="1" customHeight="1">
      <c r="A50" s="4231"/>
      <c r="B50" s="3850" t="s">
        <v>25</v>
      </c>
      <c r="C50" s="4233"/>
      <c r="D50" s="3851">
        <f>SUM(M50:R50)</f>
        <v>0</v>
      </c>
      <c r="E50" s="3852"/>
      <c r="F50" s="3852"/>
      <c r="G50" s="3852"/>
      <c r="H50" s="3859"/>
      <c r="I50" s="3859"/>
      <c r="J50" s="3851"/>
      <c r="K50" s="3851"/>
      <c r="L50" s="3851"/>
      <c r="M50" s="3852">
        <f>+L50+K50+J50+I50+E50</f>
        <v>0</v>
      </c>
      <c r="N50" s="3852"/>
      <c r="O50" s="3851"/>
      <c r="P50" s="3851"/>
      <c r="Q50" s="3851"/>
      <c r="R50" s="3851"/>
      <c r="S50" s="3851"/>
      <c r="T50" s="3851"/>
      <c r="U50" s="3851"/>
      <c r="V50" s="3851"/>
      <c r="W50" s="3851"/>
      <c r="X50" s="4214"/>
      <c r="Y50" s="4218"/>
      <c r="Z50" s="3798"/>
    </row>
    <row r="51" spans="1:27" ht="12" hidden="1" customHeight="1">
      <c r="A51" s="4231"/>
      <c r="B51" s="3858" t="s">
        <v>30</v>
      </c>
      <c r="C51" s="4235"/>
      <c r="D51" s="3846">
        <f t="shared" ref="D51:N51" si="45">+D52</f>
        <v>0</v>
      </c>
      <c r="E51" s="3846">
        <f t="shared" si="45"/>
        <v>0</v>
      </c>
      <c r="F51" s="3846">
        <f t="shared" si="45"/>
        <v>0</v>
      </c>
      <c r="G51" s="3846">
        <f t="shared" si="45"/>
        <v>0</v>
      </c>
      <c r="H51" s="3846">
        <f t="shared" si="45"/>
        <v>0</v>
      </c>
      <c r="I51" s="3847">
        <f t="shared" si="45"/>
        <v>0</v>
      </c>
      <c r="J51" s="3846">
        <f t="shared" si="45"/>
        <v>0</v>
      </c>
      <c r="K51" s="3846">
        <f t="shared" si="45"/>
        <v>0</v>
      </c>
      <c r="L51" s="3846">
        <f t="shared" si="45"/>
        <v>0</v>
      </c>
      <c r="M51" s="3846">
        <f t="shared" si="45"/>
        <v>0</v>
      </c>
      <c r="N51" s="3846">
        <f t="shared" si="45"/>
        <v>0</v>
      </c>
      <c r="O51" s="3846"/>
      <c r="P51" s="3846"/>
      <c r="Q51" s="3846"/>
      <c r="R51" s="3846"/>
      <c r="S51" s="3846"/>
      <c r="T51" s="3846"/>
      <c r="U51" s="3846"/>
      <c r="V51" s="3846"/>
      <c r="W51" s="3846"/>
      <c r="X51" s="4214"/>
      <c r="Y51" s="4218"/>
      <c r="Z51" s="3798"/>
    </row>
    <row r="52" spans="1:27" ht="13.5" hidden="1" customHeight="1" thickBot="1">
      <c r="A52" s="4231"/>
      <c r="B52" s="3850" t="s">
        <v>33</v>
      </c>
      <c r="C52" s="4235"/>
      <c r="D52" s="3851">
        <f>SUM(M52:R52)</f>
        <v>0</v>
      </c>
      <c r="E52" s="3852"/>
      <c r="F52" s="3852"/>
      <c r="G52" s="3859"/>
      <c r="H52" s="3859"/>
      <c r="I52" s="3859"/>
      <c r="J52" s="3852"/>
      <c r="K52" s="3852"/>
      <c r="L52" s="3852"/>
      <c r="M52" s="3852">
        <f>+L52+K52+J52+I52+E52</f>
        <v>0</v>
      </c>
      <c r="N52" s="3852"/>
      <c r="O52" s="3852"/>
      <c r="P52" s="3852"/>
      <c r="Q52" s="3852"/>
      <c r="R52" s="3852"/>
      <c r="S52" s="3852"/>
      <c r="T52" s="3852"/>
      <c r="U52" s="3852"/>
      <c r="V52" s="3852"/>
      <c r="W52" s="3852"/>
      <c r="X52" s="4214"/>
      <c r="Y52" s="4218"/>
      <c r="Z52" s="3798"/>
    </row>
    <row r="53" spans="1:27" hidden="1">
      <c r="A53" s="4205"/>
      <c r="B53" s="3838"/>
      <c r="C53" s="3839" t="s">
        <v>131</v>
      </c>
      <c r="D53" s="3829"/>
      <c r="E53" s="3829"/>
      <c r="F53" s="3829"/>
      <c r="G53" s="3829"/>
      <c r="H53" s="3829"/>
      <c r="I53" s="3841"/>
      <c r="J53" s="3841"/>
      <c r="K53" s="3841"/>
      <c r="L53" s="3841"/>
      <c r="M53" s="3841"/>
      <c r="N53" s="3841"/>
      <c r="O53" s="3841"/>
      <c r="P53" s="3841"/>
      <c r="Q53" s="3841"/>
      <c r="R53" s="3841"/>
      <c r="S53" s="3841"/>
      <c r="T53" s="3841"/>
      <c r="U53" s="3841"/>
      <c r="V53" s="3841"/>
      <c r="W53" s="3841"/>
      <c r="X53" s="3819"/>
      <c r="Y53" s="4207" t="s">
        <v>156</v>
      </c>
      <c r="Z53" s="3812"/>
    </row>
    <row r="54" spans="1:27" ht="13.5" hidden="1" customHeight="1">
      <c r="A54" s="4205"/>
      <c r="B54" s="3842" t="s">
        <v>22</v>
      </c>
      <c r="C54" s="3817"/>
      <c r="D54" s="3857">
        <f t="shared" ref="D54:P54" si="46">+D55+D58</f>
        <v>0</v>
      </c>
      <c r="E54" s="3857">
        <f t="shared" si="46"/>
        <v>0</v>
      </c>
      <c r="F54" s="3857">
        <f t="shared" si="46"/>
        <v>0</v>
      </c>
      <c r="G54" s="3857">
        <f t="shared" si="46"/>
        <v>0</v>
      </c>
      <c r="H54" s="3857">
        <f t="shared" si="46"/>
        <v>0</v>
      </c>
      <c r="I54" s="3857">
        <f t="shared" si="46"/>
        <v>0</v>
      </c>
      <c r="J54" s="3857">
        <f t="shared" si="46"/>
        <v>0</v>
      </c>
      <c r="K54" s="3857">
        <f t="shared" si="46"/>
        <v>0</v>
      </c>
      <c r="L54" s="3857">
        <f t="shared" si="46"/>
        <v>0</v>
      </c>
      <c r="M54" s="3857">
        <f t="shared" ref="M54" si="47">+M55+M58</f>
        <v>0</v>
      </c>
      <c r="N54" s="3857">
        <f t="shared" si="46"/>
        <v>0</v>
      </c>
      <c r="O54" s="3857">
        <f t="shared" si="46"/>
        <v>0</v>
      </c>
      <c r="P54" s="3857">
        <f t="shared" si="46"/>
        <v>0</v>
      </c>
      <c r="Q54" s="3857"/>
      <c r="R54" s="3857"/>
      <c r="S54" s="3857"/>
      <c r="T54" s="3857"/>
      <c r="U54" s="3857"/>
      <c r="V54" s="3857"/>
      <c r="W54" s="3857"/>
      <c r="X54" s="3844">
        <f>+X55+X58</f>
        <v>0</v>
      </c>
      <c r="Y54" s="4207"/>
      <c r="Z54" s="3812">
        <f>+O54+P54+Q54+R54</f>
        <v>0</v>
      </c>
      <c r="AA54" s="2358"/>
    </row>
    <row r="55" spans="1:27" ht="13.5" hidden="1" customHeight="1">
      <c r="A55" s="4205"/>
      <c r="B55" s="3858" t="s">
        <v>36</v>
      </c>
      <c r="C55" s="4209" t="s">
        <v>462</v>
      </c>
      <c r="D55" s="3847">
        <f t="shared" ref="D55:P55" si="48">+D56+D57</f>
        <v>0</v>
      </c>
      <c r="E55" s="3847">
        <f t="shared" si="48"/>
        <v>0</v>
      </c>
      <c r="F55" s="3847">
        <f t="shared" si="48"/>
        <v>0</v>
      </c>
      <c r="G55" s="3847">
        <f t="shared" si="48"/>
        <v>0</v>
      </c>
      <c r="H55" s="3847">
        <f t="shared" si="48"/>
        <v>0</v>
      </c>
      <c r="I55" s="3847">
        <f t="shared" si="48"/>
        <v>0</v>
      </c>
      <c r="J55" s="3847">
        <f t="shared" si="48"/>
        <v>0</v>
      </c>
      <c r="K55" s="3847">
        <f t="shared" si="48"/>
        <v>0</v>
      </c>
      <c r="L55" s="3847">
        <f t="shared" si="48"/>
        <v>0</v>
      </c>
      <c r="M55" s="3847">
        <f t="shared" ref="M55" si="49">+M56+M57</f>
        <v>0</v>
      </c>
      <c r="N55" s="3847">
        <f t="shared" si="48"/>
        <v>0</v>
      </c>
      <c r="O55" s="3847">
        <f t="shared" si="48"/>
        <v>0</v>
      </c>
      <c r="P55" s="3847">
        <f t="shared" si="48"/>
        <v>0</v>
      </c>
      <c r="Q55" s="3847"/>
      <c r="R55" s="3847"/>
      <c r="S55" s="3847"/>
      <c r="T55" s="3847"/>
      <c r="U55" s="3847"/>
      <c r="V55" s="3847"/>
      <c r="W55" s="3847"/>
      <c r="X55" s="3860">
        <f>+X56+X57</f>
        <v>0</v>
      </c>
      <c r="Y55" s="4207"/>
      <c r="Z55" s="3798"/>
    </row>
    <row r="56" spans="1:27" ht="13.5" hidden="1" customHeight="1">
      <c r="A56" s="4205"/>
      <c r="B56" s="3850" t="s">
        <v>24</v>
      </c>
      <c r="C56" s="4210"/>
      <c r="D56" s="3851">
        <f t="shared" ref="D56:D57" si="50">SUM(M56:R56)</f>
        <v>0</v>
      </c>
      <c r="E56" s="3852">
        <f>+F56+G56+H56</f>
        <v>0</v>
      </c>
      <c r="F56" s="3852">
        <v>0</v>
      </c>
      <c r="G56" s="3852"/>
      <c r="H56" s="3859"/>
      <c r="I56" s="3859"/>
      <c r="J56" s="3859"/>
      <c r="K56" s="3852"/>
      <c r="L56" s="3852"/>
      <c r="M56" s="3852">
        <f>+L56+K56+J56+I56+E56</f>
        <v>0</v>
      </c>
      <c r="N56" s="3852"/>
      <c r="O56" s="3852">
        <v>0</v>
      </c>
      <c r="P56" s="3852">
        <v>0</v>
      </c>
      <c r="Q56" s="3852"/>
      <c r="R56" s="3852"/>
      <c r="S56" s="3852"/>
      <c r="T56" s="3852"/>
      <c r="U56" s="3852"/>
      <c r="V56" s="3852"/>
      <c r="W56" s="3852"/>
      <c r="X56" s="3853">
        <f>SUM(P56:W56)</f>
        <v>0</v>
      </c>
      <c r="Y56" s="4207"/>
      <c r="Z56" s="3798"/>
    </row>
    <row r="57" spans="1:27" ht="13.5" hidden="1" customHeight="1">
      <c r="A57" s="4205"/>
      <c r="B57" s="3850" t="s">
        <v>25</v>
      </c>
      <c r="C57" s="4210"/>
      <c r="D57" s="3851">
        <f t="shared" si="50"/>
        <v>0</v>
      </c>
      <c r="E57" s="3852">
        <f>+F57+G57+H57</f>
        <v>0</v>
      </c>
      <c r="F57" s="3852"/>
      <c r="G57" s="3852"/>
      <c r="H57" s="3859"/>
      <c r="I57" s="3859"/>
      <c r="J57" s="3859"/>
      <c r="K57" s="3852"/>
      <c r="L57" s="3852"/>
      <c r="M57" s="3852">
        <f>+L57+K57+J57+I57+E57</f>
        <v>0</v>
      </c>
      <c r="N57" s="3852"/>
      <c r="O57" s="3852">
        <v>0</v>
      </c>
      <c r="P57" s="3852">
        <v>0</v>
      </c>
      <c r="Q57" s="3852"/>
      <c r="R57" s="3852"/>
      <c r="S57" s="3852"/>
      <c r="T57" s="3852"/>
      <c r="U57" s="3852"/>
      <c r="V57" s="3852"/>
      <c r="W57" s="3852"/>
      <c r="X57" s="3853">
        <f>SUM(P57:W57)</f>
        <v>0</v>
      </c>
      <c r="Y57" s="4207"/>
      <c r="Z57" s="3798"/>
    </row>
    <row r="58" spans="1:27" ht="12.75" hidden="1" customHeight="1">
      <c r="A58" s="4205"/>
      <c r="B58" s="3845" t="s">
        <v>30</v>
      </c>
      <c r="C58" s="4210"/>
      <c r="D58" s="3846">
        <f>+D59</f>
        <v>0</v>
      </c>
      <c r="E58" s="3846">
        <f t="shared" ref="E58:X58" si="51">+E59</f>
        <v>0</v>
      </c>
      <c r="F58" s="3846">
        <f t="shared" si="51"/>
        <v>0</v>
      </c>
      <c r="G58" s="3846">
        <f t="shared" si="51"/>
        <v>0</v>
      </c>
      <c r="H58" s="3846">
        <f t="shared" si="51"/>
        <v>0</v>
      </c>
      <c r="I58" s="3846">
        <f t="shared" si="51"/>
        <v>0</v>
      </c>
      <c r="J58" s="3846">
        <f t="shared" si="51"/>
        <v>0</v>
      </c>
      <c r="K58" s="3846">
        <f t="shared" si="51"/>
        <v>0</v>
      </c>
      <c r="L58" s="3846">
        <f t="shared" si="51"/>
        <v>0</v>
      </c>
      <c r="M58" s="3846">
        <f t="shared" si="51"/>
        <v>0</v>
      </c>
      <c r="N58" s="3846">
        <f t="shared" si="51"/>
        <v>0</v>
      </c>
      <c r="O58" s="3846">
        <f t="shared" si="51"/>
        <v>0</v>
      </c>
      <c r="P58" s="3846">
        <f t="shared" si="51"/>
        <v>0</v>
      </c>
      <c r="Q58" s="3846"/>
      <c r="R58" s="3846"/>
      <c r="S58" s="3846"/>
      <c r="T58" s="3846"/>
      <c r="U58" s="3846"/>
      <c r="V58" s="3846"/>
      <c r="W58" s="3846"/>
      <c r="X58" s="3861">
        <f t="shared" si="51"/>
        <v>0</v>
      </c>
      <c r="Y58" s="4207"/>
      <c r="Z58" s="3798"/>
    </row>
    <row r="59" spans="1:27" ht="13.5" hidden="1" customHeight="1">
      <c r="A59" s="4205"/>
      <c r="B59" s="3850" t="s">
        <v>33</v>
      </c>
      <c r="C59" s="4210"/>
      <c r="D59" s="3851">
        <f>SUM(M59:R59)</f>
        <v>0</v>
      </c>
      <c r="E59" s="3852">
        <f>+F59+G59+H59</f>
        <v>0</v>
      </c>
      <c r="F59" s="3852"/>
      <c r="G59" s="3852"/>
      <c r="H59" s="3859"/>
      <c r="I59" s="3859"/>
      <c r="J59" s="3859"/>
      <c r="K59" s="3852"/>
      <c r="L59" s="3852"/>
      <c r="M59" s="3852">
        <f>+L59+K59+J59+I59+E59</f>
        <v>0</v>
      </c>
      <c r="N59" s="3852"/>
      <c r="O59" s="3852">
        <v>0</v>
      </c>
      <c r="P59" s="3852">
        <v>0</v>
      </c>
      <c r="Q59" s="3852"/>
      <c r="R59" s="3852"/>
      <c r="S59" s="3852"/>
      <c r="T59" s="3852"/>
      <c r="U59" s="3852"/>
      <c r="V59" s="3852"/>
      <c r="W59" s="3852"/>
      <c r="X59" s="3853">
        <f>SUM(P59:W59)</f>
        <v>0</v>
      </c>
      <c r="Y59" s="4207"/>
      <c r="Z59" s="3798"/>
    </row>
    <row r="60" spans="1:27" ht="13.5" hidden="1" customHeight="1">
      <c r="A60" s="4206"/>
      <c r="B60" s="3842" t="s">
        <v>34</v>
      </c>
      <c r="C60" s="3817"/>
      <c r="D60" s="3843">
        <f t="shared" ref="D60:L60" si="52">+D61+D63</f>
        <v>0</v>
      </c>
      <c r="E60" s="3843">
        <f t="shared" si="52"/>
        <v>0</v>
      </c>
      <c r="F60" s="3843">
        <f t="shared" si="52"/>
        <v>0</v>
      </c>
      <c r="G60" s="3843">
        <f t="shared" si="52"/>
        <v>0</v>
      </c>
      <c r="H60" s="3843">
        <f t="shared" si="52"/>
        <v>0</v>
      </c>
      <c r="I60" s="3843">
        <f t="shared" si="52"/>
        <v>0</v>
      </c>
      <c r="J60" s="3843">
        <f t="shared" si="52"/>
        <v>0</v>
      </c>
      <c r="K60" s="3843">
        <f t="shared" si="52"/>
        <v>0</v>
      </c>
      <c r="L60" s="3843">
        <f t="shared" si="52"/>
        <v>0</v>
      </c>
      <c r="M60" s="3843">
        <f t="shared" ref="M60" si="53">+M61+M63</f>
        <v>0</v>
      </c>
      <c r="N60" s="3843">
        <f>+N61+N63</f>
        <v>0</v>
      </c>
      <c r="O60" s="3843">
        <f>+O61+O63</f>
        <v>0</v>
      </c>
      <c r="P60" s="3843">
        <f>+P61+P63</f>
        <v>0</v>
      </c>
      <c r="Q60" s="3843"/>
      <c r="R60" s="3843"/>
      <c r="S60" s="3843"/>
      <c r="T60" s="3843"/>
      <c r="U60" s="3843"/>
      <c r="V60" s="3843"/>
      <c r="W60" s="3843"/>
      <c r="X60" s="4214" t="s">
        <v>77</v>
      </c>
      <c r="Y60" s="4218"/>
      <c r="Z60" s="3798"/>
    </row>
    <row r="61" spans="1:27" ht="13.5" hidden="1" customHeight="1">
      <c r="A61" s="4206"/>
      <c r="B61" s="3858" t="s">
        <v>36</v>
      </c>
      <c r="C61" s="4211" t="s">
        <v>462</v>
      </c>
      <c r="D61" s="3846">
        <f t="shared" ref="D61:P61" si="54">+D62</f>
        <v>0</v>
      </c>
      <c r="E61" s="3846">
        <f t="shared" si="54"/>
        <v>0</v>
      </c>
      <c r="F61" s="3846">
        <f t="shared" si="54"/>
        <v>0</v>
      </c>
      <c r="G61" s="3846">
        <f t="shared" si="54"/>
        <v>0</v>
      </c>
      <c r="H61" s="3846">
        <f t="shared" si="54"/>
        <v>0</v>
      </c>
      <c r="I61" s="3846">
        <f t="shared" si="54"/>
        <v>0</v>
      </c>
      <c r="J61" s="3846">
        <f t="shared" si="54"/>
        <v>0</v>
      </c>
      <c r="K61" s="3846">
        <f t="shared" si="54"/>
        <v>0</v>
      </c>
      <c r="L61" s="3846">
        <f t="shared" si="54"/>
        <v>0</v>
      </c>
      <c r="M61" s="3846">
        <f t="shared" si="54"/>
        <v>0</v>
      </c>
      <c r="N61" s="3846">
        <f t="shared" si="54"/>
        <v>0</v>
      </c>
      <c r="O61" s="3846">
        <f t="shared" si="54"/>
        <v>0</v>
      </c>
      <c r="P61" s="3846">
        <f t="shared" si="54"/>
        <v>0</v>
      </c>
      <c r="Q61" s="3846"/>
      <c r="R61" s="3846"/>
      <c r="S61" s="3846"/>
      <c r="T61" s="3846"/>
      <c r="U61" s="3846"/>
      <c r="V61" s="3846"/>
      <c r="W61" s="3846"/>
      <c r="X61" s="4214"/>
      <c r="Y61" s="4218"/>
      <c r="Z61" s="3798"/>
    </row>
    <row r="62" spans="1:27" ht="13.5" hidden="1" customHeight="1">
      <c r="A62" s="4206"/>
      <c r="B62" s="3850" t="s">
        <v>25</v>
      </c>
      <c r="C62" s="4210"/>
      <c r="D62" s="3851">
        <f>SUM(M62:R62)</f>
        <v>0</v>
      </c>
      <c r="E62" s="3852">
        <f>+F62+G62+H62</f>
        <v>0</v>
      </c>
      <c r="F62" s="3851"/>
      <c r="G62" s="3851"/>
      <c r="H62" s="3851"/>
      <c r="I62" s="3851"/>
      <c r="J62" s="3851"/>
      <c r="K62" s="3851"/>
      <c r="L62" s="3851"/>
      <c r="M62" s="3852">
        <f>+L62+K62+J62+I62+E62</f>
        <v>0</v>
      </c>
      <c r="N62" s="3851"/>
      <c r="O62" s="3851">
        <v>0</v>
      </c>
      <c r="P62" s="3851">
        <v>0</v>
      </c>
      <c r="Q62" s="3851"/>
      <c r="R62" s="3851"/>
      <c r="S62" s="3851"/>
      <c r="T62" s="3851"/>
      <c r="U62" s="3851"/>
      <c r="V62" s="3851"/>
      <c r="W62" s="3851"/>
      <c r="X62" s="4214"/>
      <c r="Y62" s="4218"/>
      <c r="Z62" s="3798"/>
    </row>
    <row r="63" spans="1:27" ht="12" hidden="1" customHeight="1">
      <c r="A63" s="4206"/>
      <c r="B63" s="3845" t="s">
        <v>30</v>
      </c>
      <c r="C63" s="4212"/>
      <c r="D63" s="3846">
        <f t="shared" ref="D63:P63" si="55">+D64</f>
        <v>0</v>
      </c>
      <c r="E63" s="3846">
        <f t="shared" si="55"/>
        <v>0</v>
      </c>
      <c r="F63" s="3846">
        <f t="shared" si="55"/>
        <v>0</v>
      </c>
      <c r="G63" s="3846">
        <f t="shared" si="55"/>
        <v>0</v>
      </c>
      <c r="H63" s="3846">
        <f t="shared" si="55"/>
        <v>0</v>
      </c>
      <c r="I63" s="3846">
        <f t="shared" si="55"/>
        <v>0</v>
      </c>
      <c r="J63" s="3846">
        <f t="shared" si="55"/>
        <v>0</v>
      </c>
      <c r="K63" s="3846">
        <f t="shared" si="55"/>
        <v>0</v>
      </c>
      <c r="L63" s="3846">
        <f t="shared" si="55"/>
        <v>0</v>
      </c>
      <c r="M63" s="3846">
        <f t="shared" si="55"/>
        <v>0</v>
      </c>
      <c r="N63" s="3846">
        <f t="shared" si="55"/>
        <v>0</v>
      </c>
      <c r="O63" s="3846">
        <f t="shared" si="55"/>
        <v>0</v>
      </c>
      <c r="P63" s="3846">
        <f t="shared" si="55"/>
        <v>0</v>
      </c>
      <c r="Q63" s="3846"/>
      <c r="R63" s="3846"/>
      <c r="S63" s="3846"/>
      <c r="T63" s="3846"/>
      <c r="U63" s="3846"/>
      <c r="V63" s="3846"/>
      <c r="W63" s="3846"/>
      <c r="X63" s="4214"/>
      <c r="Y63" s="4218"/>
      <c r="Z63" s="3798"/>
    </row>
    <row r="64" spans="1:27" ht="13.5" hidden="1" customHeight="1" thickBot="1">
      <c r="A64" s="4206"/>
      <c r="B64" s="3856" t="s">
        <v>33</v>
      </c>
      <c r="C64" s="4212"/>
      <c r="D64" s="3851">
        <f>SUM(M64:R64)</f>
        <v>0</v>
      </c>
      <c r="E64" s="3852">
        <f>+F64+G64+H64</f>
        <v>0</v>
      </c>
      <c r="F64" s="3852"/>
      <c r="G64" s="3852"/>
      <c r="H64" s="3852"/>
      <c r="I64" s="3852"/>
      <c r="J64" s="3852"/>
      <c r="K64" s="3852"/>
      <c r="L64" s="3852"/>
      <c r="M64" s="3852">
        <f>+L64+K64+J64+I64+E64</f>
        <v>0</v>
      </c>
      <c r="N64" s="3852">
        <f>18449-18449</f>
        <v>0</v>
      </c>
      <c r="O64" s="3852">
        <v>0</v>
      </c>
      <c r="P64" s="3852">
        <v>0</v>
      </c>
      <c r="Q64" s="3852"/>
      <c r="R64" s="3852"/>
      <c r="S64" s="3852"/>
      <c r="T64" s="3852"/>
      <c r="U64" s="3852"/>
      <c r="V64" s="3852"/>
      <c r="W64" s="3852"/>
      <c r="X64" s="4214"/>
      <c r="Y64" s="4218"/>
      <c r="Z64" s="3798"/>
    </row>
    <row r="65" spans="1:29" ht="26.25" customHeight="1">
      <c r="A65" s="4222" t="s">
        <v>81</v>
      </c>
      <c r="B65" s="3838" t="s">
        <v>163</v>
      </c>
      <c r="C65" s="3839" t="s">
        <v>131</v>
      </c>
      <c r="D65" s="3829"/>
      <c r="E65" s="3829"/>
      <c r="F65" s="3829"/>
      <c r="G65" s="3829"/>
      <c r="H65" s="3829"/>
      <c r="I65" s="3841"/>
      <c r="J65" s="3841"/>
      <c r="K65" s="3841"/>
      <c r="L65" s="3841"/>
      <c r="M65" s="3841"/>
      <c r="N65" s="3841"/>
      <c r="O65" s="3841"/>
      <c r="P65" s="3841"/>
      <c r="Q65" s="3841"/>
      <c r="R65" s="3841"/>
      <c r="S65" s="3841"/>
      <c r="T65" s="3841"/>
      <c r="U65" s="3841"/>
      <c r="V65" s="3841"/>
      <c r="W65" s="3841"/>
      <c r="X65" s="3819"/>
      <c r="Y65" s="4207" t="s">
        <v>156</v>
      </c>
      <c r="Z65" s="3798"/>
      <c r="AC65" s="2372"/>
    </row>
    <row r="66" spans="1:29" ht="13.5" customHeight="1">
      <c r="A66" s="4222"/>
      <c r="B66" s="3842" t="s">
        <v>22</v>
      </c>
      <c r="C66" s="3817"/>
      <c r="D66" s="3857">
        <f t="shared" ref="D66:P66" si="56">+D67+D70</f>
        <v>2845313</v>
      </c>
      <c r="E66" s="3857">
        <f t="shared" si="56"/>
        <v>0</v>
      </c>
      <c r="F66" s="3857">
        <f t="shared" si="56"/>
        <v>0</v>
      </c>
      <c r="G66" s="3857">
        <f t="shared" si="56"/>
        <v>0</v>
      </c>
      <c r="H66" s="3857">
        <f t="shared" si="56"/>
        <v>0</v>
      </c>
      <c r="I66" s="3857">
        <f t="shared" si="56"/>
        <v>0</v>
      </c>
      <c r="J66" s="3857">
        <f t="shared" si="56"/>
        <v>0</v>
      </c>
      <c r="K66" s="3857">
        <f t="shared" si="56"/>
        <v>0</v>
      </c>
      <c r="L66" s="3857">
        <f t="shared" si="56"/>
        <v>6783</v>
      </c>
      <c r="M66" s="3857">
        <f t="shared" ref="M66" si="57">+M67+M70</f>
        <v>2590549</v>
      </c>
      <c r="N66" s="3857">
        <f t="shared" si="56"/>
        <v>2583766</v>
      </c>
      <c r="O66" s="3857">
        <f t="shared" si="56"/>
        <v>254764</v>
      </c>
      <c r="P66" s="3857">
        <f t="shared" si="56"/>
        <v>0</v>
      </c>
      <c r="Q66" s="3857"/>
      <c r="R66" s="3857"/>
      <c r="S66" s="3857"/>
      <c r="T66" s="3857"/>
      <c r="U66" s="3857"/>
      <c r="V66" s="3857"/>
      <c r="W66" s="3857"/>
      <c r="X66" s="3844">
        <f>+X67+X70</f>
        <v>0</v>
      </c>
      <c r="Y66" s="4207"/>
      <c r="Z66" s="3812">
        <f>+O66+P66+Q66+R66</f>
        <v>254764</v>
      </c>
      <c r="AA66" s="2358"/>
      <c r="AB66" s="2358"/>
      <c r="AC66" s="2358"/>
    </row>
    <row r="67" spans="1:29" ht="13.5" customHeight="1">
      <c r="A67" s="4222"/>
      <c r="B67" s="3858" t="s">
        <v>36</v>
      </c>
      <c r="C67" s="4209" t="s">
        <v>162</v>
      </c>
      <c r="D67" s="3847">
        <f t="shared" ref="D67:P67" si="58">+D68+D69</f>
        <v>426796</v>
      </c>
      <c r="E67" s="3847">
        <f t="shared" si="58"/>
        <v>0</v>
      </c>
      <c r="F67" s="3847">
        <f t="shared" si="58"/>
        <v>0</v>
      </c>
      <c r="G67" s="3847">
        <f t="shared" si="58"/>
        <v>0</v>
      </c>
      <c r="H67" s="3847">
        <f t="shared" si="58"/>
        <v>0</v>
      </c>
      <c r="I67" s="3847">
        <f t="shared" si="58"/>
        <v>0</v>
      </c>
      <c r="J67" s="3847">
        <f t="shared" si="58"/>
        <v>0</v>
      </c>
      <c r="K67" s="3847">
        <f t="shared" si="58"/>
        <v>0</v>
      </c>
      <c r="L67" s="3847">
        <f t="shared" si="58"/>
        <v>1018</v>
      </c>
      <c r="M67" s="3847">
        <f t="shared" ref="M67" si="59">+M68+M69</f>
        <v>388582</v>
      </c>
      <c r="N67" s="3847">
        <f t="shared" si="58"/>
        <v>387564</v>
      </c>
      <c r="O67" s="3847">
        <f t="shared" si="58"/>
        <v>38214</v>
      </c>
      <c r="P67" s="3847">
        <f t="shared" si="58"/>
        <v>0</v>
      </c>
      <c r="Q67" s="3847"/>
      <c r="R67" s="3847"/>
      <c r="S67" s="3847"/>
      <c r="T67" s="3847"/>
      <c r="U67" s="3847"/>
      <c r="V67" s="3847"/>
      <c r="W67" s="3847"/>
      <c r="X67" s="3860">
        <f>+X68+X69</f>
        <v>0</v>
      </c>
      <c r="Y67" s="4207"/>
      <c r="Z67" s="3798"/>
    </row>
    <row r="68" spans="1:29" ht="13.5" customHeight="1">
      <c r="A68" s="4222"/>
      <c r="B68" s="3850" t="s">
        <v>24</v>
      </c>
      <c r="C68" s="4210"/>
      <c r="D68" s="3851">
        <f t="shared" ref="D68:D69" si="60">M68+O68+P68+Q68+R68+S68+T68+U68+V68+W68</f>
        <v>213398</v>
      </c>
      <c r="E68" s="3852"/>
      <c r="F68" s="3852"/>
      <c r="G68" s="3852"/>
      <c r="H68" s="3859"/>
      <c r="I68" s="3859"/>
      <c r="J68" s="3859"/>
      <c r="K68" s="3852"/>
      <c r="L68" s="3852">
        <f>796-287</f>
        <v>509</v>
      </c>
      <c r="M68" s="3852">
        <f>+L68+K68+J68+I68+E68+N68</f>
        <v>194291</v>
      </c>
      <c r="N68" s="3852">
        <f>202832+287-413-8924</f>
        <v>193782</v>
      </c>
      <c r="O68" s="3852">
        <f>21372+413+8924-11602</f>
        <v>19107</v>
      </c>
      <c r="P68" s="3852">
        <v>0</v>
      </c>
      <c r="Q68" s="3852"/>
      <c r="R68" s="3852"/>
      <c r="S68" s="3852"/>
      <c r="T68" s="3852"/>
      <c r="U68" s="3852"/>
      <c r="V68" s="3852"/>
      <c r="W68" s="3852"/>
      <c r="X68" s="3853">
        <f>SUM(P68:T68)</f>
        <v>0</v>
      </c>
      <c r="Y68" s="4207"/>
      <c r="Z68" s="3798"/>
    </row>
    <row r="69" spans="1:29" ht="12" customHeight="1">
      <c r="A69" s="4222"/>
      <c r="B69" s="3850" t="s">
        <v>25</v>
      </c>
      <c r="C69" s="4210"/>
      <c r="D69" s="3851">
        <f t="shared" si="60"/>
        <v>213398</v>
      </c>
      <c r="E69" s="3852"/>
      <c r="F69" s="3852"/>
      <c r="G69" s="3852"/>
      <c r="H69" s="3859"/>
      <c r="I69" s="3859"/>
      <c r="J69" s="3859"/>
      <c r="K69" s="3852"/>
      <c r="L69" s="3852">
        <f>796-287</f>
        <v>509</v>
      </c>
      <c r="M69" s="3852">
        <f>+L69+K69+J69+I69+E69+N69</f>
        <v>194291</v>
      </c>
      <c r="N69" s="3852">
        <f>202832+287-413-8924</f>
        <v>193782</v>
      </c>
      <c r="O69" s="3852">
        <f>21372+413+8924-11602</f>
        <v>19107</v>
      </c>
      <c r="P69" s="3852">
        <v>0</v>
      </c>
      <c r="Q69" s="3852"/>
      <c r="R69" s="3852"/>
      <c r="S69" s="3852"/>
      <c r="T69" s="3852"/>
      <c r="U69" s="3852"/>
      <c r="V69" s="3852"/>
      <c r="W69" s="3852"/>
      <c r="X69" s="3853">
        <f>SUM(P69:T69)</f>
        <v>0</v>
      </c>
      <c r="Y69" s="4207"/>
      <c r="Z69" s="3798"/>
    </row>
    <row r="70" spans="1:29" ht="13.5" customHeight="1">
      <c r="A70" s="4222"/>
      <c r="B70" s="3845" t="s">
        <v>30</v>
      </c>
      <c r="C70" s="4210"/>
      <c r="D70" s="3846">
        <f>+D71</f>
        <v>2418517</v>
      </c>
      <c r="E70" s="3846">
        <f t="shared" ref="E70:X70" si="61">+E71</f>
        <v>0</v>
      </c>
      <c r="F70" s="3846">
        <f t="shared" si="61"/>
        <v>0</v>
      </c>
      <c r="G70" s="3846">
        <f t="shared" si="61"/>
        <v>0</v>
      </c>
      <c r="H70" s="3846">
        <f t="shared" si="61"/>
        <v>0</v>
      </c>
      <c r="I70" s="3846">
        <f t="shared" si="61"/>
        <v>0</v>
      </c>
      <c r="J70" s="3846">
        <f t="shared" si="61"/>
        <v>0</v>
      </c>
      <c r="K70" s="3846">
        <f t="shared" si="61"/>
        <v>0</v>
      </c>
      <c r="L70" s="3846">
        <f t="shared" si="61"/>
        <v>5765</v>
      </c>
      <c r="M70" s="3846">
        <f t="shared" si="61"/>
        <v>2201967</v>
      </c>
      <c r="N70" s="3846">
        <f t="shared" si="61"/>
        <v>2196202</v>
      </c>
      <c r="O70" s="3846">
        <f t="shared" si="61"/>
        <v>216550</v>
      </c>
      <c r="P70" s="3846">
        <f t="shared" si="61"/>
        <v>0</v>
      </c>
      <c r="Q70" s="3846"/>
      <c r="R70" s="3846"/>
      <c r="S70" s="3846"/>
      <c r="T70" s="3846"/>
      <c r="U70" s="3846"/>
      <c r="V70" s="3846"/>
      <c r="W70" s="3846"/>
      <c r="X70" s="3861">
        <f t="shared" si="61"/>
        <v>0</v>
      </c>
      <c r="Y70" s="4207"/>
      <c r="Z70" s="3798"/>
    </row>
    <row r="71" spans="1:29" ht="12.75" customHeight="1">
      <c r="A71" s="4222"/>
      <c r="B71" s="3850" t="s">
        <v>33</v>
      </c>
      <c r="C71" s="4210"/>
      <c r="D71" s="3851">
        <f>M71+O71+P71+Q71+R71+S71+T71+U71+V71+W71</f>
        <v>2418517</v>
      </c>
      <c r="E71" s="3852"/>
      <c r="F71" s="3852"/>
      <c r="G71" s="3852"/>
      <c r="H71" s="3859"/>
      <c r="I71" s="3859"/>
      <c r="J71" s="3859"/>
      <c r="K71" s="3852"/>
      <c r="L71" s="3852">
        <f>9024-3259</f>
        <v>5765</v>
      </c>
      <c r="M71" s="3852">
        <f>+L71+K71+J71+I71+E71+N71</f>
        <v>2201967</v>
      </c>
      <c r="N71" s="3852">
        <f>2298760+3259-4674-101143</f>
        <v>2196202</v>
      </c>
      <c r="O71" s="3852">
        <f>242216+4674+101143-131483</f>
        <v>216550</v>
      </c>
      <c r="P71" s="3852">
        <v>0</v>
      </c>
      <c r="Q71" s="3852"/>
      <c r="R71" s="3852"/>
      <c r="S71" s="3852"/>
      <c r="T71" s="3852"/>
      <c r="U71" s="3852"/>
      <c r="V71" s="3852"/>
      <c r="W71" s="3852"/>
      <c r="X71" s="3853">
        <f>SUM(P71:T71)</f>
        <v>0</v>
      </c>
      <c r="Y71" s="4207"/>
      <c r="Z71" s="3798"/>
    </row>
    <row r="72" spans="1:29" ht="13.5" customHeight="1">
      <c r="A72" s="4223"/>
      <c r="B72" s="3842" t="s">
        <v>34</v>
      </c>
      <c r="C72" s="3817"/>
      <c r="D72" s="3843">
        <f t="shared" ref="D72:L72" si="62">+D73+D75</f>
        <v>2631915</v>
      </c>
      <c r="E72" s="3843">
        <f t="shared" si="62"/>
        <v>0</v>
      </c>
      <c r="F72" s="3843">
        <f t="shared" si="62"/>
        <v>0</v>
      </c>
      <c r="G72" s="3843">
        <f t="shared" si="62"/>
        <v>0</v>
      </c>
      <c r="H72" s="3843">
        <f t="shared" si="62"/>
        <v>0</v>
      </c>
      <c r="I72" s="3843">
        <f t="shared" si="62"/>
        <v>0</v>
      </c>
      <c r="J72" s="3843">
        <f t="shared" si="62"/>
        <v>0</v>
      </c>
      <c r="K72" s="3843">
        <f t="shared" si="62"/>
        <v>0</v>
      </c>
      <c r="L72" s="3843">
        <f t="shared" si="62"/>
        <v>9533</v>
      </c>
      <c r="M72" s="3843">
        <f t="shared" ref="M72" si="63">+M73+M75</f>
        <v>2497401</v>
      </c>
      <c r="N72" s="3843">
        <f>+N73+N75</f>
        <v>2487868</v>
      </c>
      <c r="O72" s="3843">
        <f>+O73+O75</f>
        <v>134514</v>
      </c>
      <c r="P72" s="3843">
        <f>+P73+P75</f>
        <v>0</v>
      </c>
      <c r="Q72" s="3843"/>
      <c r="R72" s="3843"/>
      <c r="S72" s="3843"/>
      <c r="T72" s="3843"/>
      <c r="U72" s="3843"/>
      <c r="V72" s="3843"/>
      <c r="W72" s="3843"/>
      <c r="X72" s="4214" t="s">
        <v>77</v>
      </c>
      <c r="Y72" s="4218"/>
      <c r="Z72" s="3798"/>
    </row>
    <row r="73" spans="1:29" ht="13.5" customHeight="1">
      <c r="A73" s="4223"/>
      <c r="B73" s="3858" t="s">
        <v>36</v>
      </c>
      <c r="C73" s="4211" t="s">
        <v>158</v>
      </c>
      <c r="D73" s="3846">
        <f t="shared" ref="D73:P73" si="64">+D74</f>
        <v>213398</v>
      </c>
      <c r="E73" s="3846">
        <f t="shared" si="64"/>
        <v>0</v>
      </c>
      <c r="F73" s="3846">
        <f t="shared" si="64"/>
        <v>0</v>
      </c>
      <c r="G73" s="3846">
        <f t="shared" si="64"/>
        <v>0</v>
      </c>
      <c r="H73" s="3846">
        <f t="shared" si="64"/>
        <v>0</v>
      </c>
      <c r="I73" s="3846">
        <f t="shared" si="64"/>
        <v>0</v>
      </c>
      <c r="J73" s="3846">
        <f t="shared" si="64"/>
        <v>0</v>
      </c>
      <c r="K73" s="3846">
        <f t="shared" si="64"/>
        <v>0</v>
      </c>
      <c r="L73" s="3846">
        <f t="shared" si="64"/>
        <v>509</v>
      </c>
      <c r="M73" s="3846">
        <f t="shared" si="64"/>
        <v>194291</v>
      </c>
      <c r="N73" s="3846">
        <f t="shared" si="64"/>
        <v>193782</v>
      </c>
      <c r="O73" s="3846">
        <f t="shared" si="64"/>
        <v>19107</v>
      </c>
      <c r="P73" s="3846">
        <f t="shared" si="64"/>
        <v>0</v>
      </c>
      <c r="Q73" s="3846"/>
      <c r="R73" s="3846"/>
      <c r="S73" s="3846"/>
      <c r="T73" s="3846"/>
      <c r="U73" s="3846"/>
      <c r="V73" s="3846"/>
      <c r="W73" s="3846"/>
      <c r="X73" s="4214"/>
      <c r="Y73" s="4218"/>
      <c r="Z73" s="3798"/>
    </row>
    <row r="74" spans="1:29" ht="13.5" customHeight="1">
      <c r="A74" s="4223"/>
      <c r="B74" s="3850" t="s">
        <v>25</v>
      </c>
      <c r="C74" s="4210"/>
      <c r="D74" s="3851">
        <f>M74+O74+P74+Q74+R74+S74+T74+U74+V74+W74</f>
        <v>213398</v>
      </c>
      <c r="E74" s="3852"/>
      <c r="F74" s="3851"/>
      <c r="G74" s="3851"/>
      <c r="H74" s="3851"/>
      <c r="I74" s="3851"/>
      <c r="J74" s="3851"/>
      <c r="K74" s="3851"/>
      <c r="L74" s="3851">
        <f>796-287</f>
        <v>509</v>
      </c>
      <c r="M74" s="3852">
        <f>+L74+K74+J74+I74+E74+N74</f>
        <v>194291</v>
      </c>
      <c r="N74" s="3851">
        <f>202832+287-413-8924</f>
        <v>193782</v>
      </c>
      <c r="O74" s="3851">
        <f>21372+413+8924-11602</f>
        <v>19107</v>
      </c>
      <c r="P74" s="3851">
        <v>0</v>
      </c>
      <c r="Q74" s="3851"/>
      <c r="R74" s="3851"/>
      <c r="S74" s="3851"/>
      <c r="T74" s="3851"/>
      <c r="U74" s="3851"/>
      <c r="V74" s="3851"/>
      <c r="W74" s="3851"/>
      <c r="X74" s="4214"/>
      <c r="Y74" s="4218"/>
      <c r="Z74" s="3798"/>
    </row>
    <row r="75" spans="1:29" ht="12" customHeight="1">
      <c r="A75" s="4223"/>
      <c r="B75" s="3845" t="s">
        <v>30</v>
      </c>
      <c r="C75" s="4212"/>
      <c r="D75" s="3846">
        <f t="shared" ref="D75:P75" si="65">+D76</f>
        <v>2418517</v>
      </c>
      <c r="E75" s="3846">
        <f t="shared" si="65"/>
        <v>0</v>
      </c>
      <c r="F75" s="3846">
        <f t="shared" si="65"/>
        <v>0</v>
      </c>
      <c r="G75" s="3846">
        <f t="shared" si="65"/>
        <v>0</v>
      </c>
      <c r="H75" s="3846">
        <f t="shared" si="65"/>
        <v>0</v>
      </c>
      <c r="I75" s="3846">
        <f t="shared" si="65"/>
        <v>0</v>
      </c>
      <c r="J75" s="3846">
        <f t="shared" si="65"/>
        <v>0</v>
      </c>
      <c r="K75" s="3846">
        <f t="shared" si="65"/>
        <v>0</v>
      </c>
      <c r="L75" s="3846">
        <f t="shared" si="65"/>
        <v>9024</v>
      </c>
      <c r="M75" s="3846">
        <f t="shared" si="65"/>
        <v>2303110</v>
      </c>
      <c r="N75" s="3846">
        <f t="shared" si="65"/>
        <v>2294086</v>
      </c>
      <c r="O75" s="3846">
        <f t="shared" si="65"/>
        <v>115407</v>
      </c>
      <c r="P75" s="3846">
        <f t="shared" si="65"/>
        <v>0</v>
      </c>
      <c r="Q75" s="3846"/>
      <c r="R75" s="3846"/>
      <c r="S75" s="3846"/>
      <c r="T75" s="3846"/>
      <c r="U75" s="3846"/>
      <c r="V75" s="3846"/>
      <c r="W75" s="3846"/>
      <c r="X75" s="4214"/>
      <c r="Y75" s="4218"/>
      <c r="Z75" s="3798"/>
    </row>
    <row r="76" spans="1:29" ht="13.5" customHeight="1" thickBot="1">
      <c r="A76" s="4224"/>
      <c r="B76" s="3862" t="s">
        <v>33</v>
      </c>
      <c r="C76" s="4226"/>
      <c r="D76" s="3863">
        <f>M76+O76+P76+Q76+R76+S76+T76+U76+V76+W76</f>
        <v>2418517</v>
      </c>
      <c r="E76" s="3864"/>
      <c r="F76" s="3864"/>
      <c r="G76" s="3864"/>
      <c r="H76" s="3864"/>
      <c r="I76" s="3864"/>
      <c r="J76" s="3864"/>
      <c r="K76" s="3864"/>
      <c r="L76" s="3864">
        <v>9024</v>
      </c>
      <c r="M76" s="3864">
        <f>+L76+K76+J76+I76+E76+N76</f>
        <v>2303110</v>
      </c>
      <c r="N76" s="3864">
        <f>2298760-4674</f>
        <v>2294086</v>
      </c>
      <c r="O76" s="3864">
        <f>242216+4674-131483</f>
        <v>115407</v>
      </c>
      <c r="P76" s="3864">
        <v>0</v>
      </c>
      <c r="Q76" s="3864"/>
      <c r="R76" s="3864"/>
      <c r="S76" s="3864"/>
      <c r="T76" s="3864"/>
      <c r="U76" s="3864"/>
      <c r="V76" s="3864"/>
      <c r="W76" s="3864"/>
      <c r="X76" s="4227"/>
      <c r="Y76" s="4225"/>
      <c r="Z76" s="3798"/>
    </row>
    <row r="77" spans="1:29" ht="25.5" customHeight="1">
      <c r="A77" s="4216" t="s">
        <v>82</v>
      </c>
      <c r="B77" s="3865" t="s">
        <v>164</v>
      </c>
      <c r="C77" s="3866" t="s">
        <v>131</v>
      </c>
      <c r="D77" s="3867"/>
      <c r="E77" s="3867"/>
      <c r="F77" s="3867"/>
      <c r="G77" s="3867"/>
      <c r="H77" s="3867"/>
      <c r="I77" s="3868"/>
      <c r="J77" s="3868"/>
      <c r="K77" s="3868"/>
      <c r="L77" s="3868"/>
      <c r="M77" s="3868"/>
      <c r="N77" s="3868"/>
      <c r="O77" s="3868"/>
      <c r="P77" s="3868"/>
      <c r="Q77" s="3868"/>
      <c r="R77" s="3868"/>
      <c r="S77" s="3868"/>
      <c r="T77" s="3868"/>
      <c r="U77" s="3868"/>
      <c r="V77" s="3868"/>
      <c r="W77" s="3868"/>
      <c r="X77" s="3869"/>
      <c r="Y77" s="4217" t="s">
        <v>156</v>
      </c>
      <c r="Z77" s="3798"/>
    </row>
    <row r="78" spans="1:29" ht="13.5" customHeight="1">
      <c r="A78" s="4205"/>
      <c r="B78" s="3842" t="s">
        <v>22</v>
      </c>
      <c r="C78" s="3817"/>
      <c r="D78" s="3857">
        <f>+D79+D82</f>
        <v>2514459</v>
      </c>
      <c r="E78" s="3857"/>
      <c r="F78" s="3857"/>
      <c r="G78" s="3857"/>
      <c r="H78" s="3857"/>
      <c r="I78" s="3857"/>
      <c r="J78" s="3857"/>
      <c r="K78" s="3857"/>
      <c r="L78" s="3857">
        <f t="shared" ref="L78:Q78" si="66">+L79+L82</f>
        <v>402176</v>
      </c>
      <c r="M78" s="3857">
        <f t="shared" si="66"/>
        <v>1615736</v>
      </c>
      <c r="N78" s="3857">
        <f t="shared" si="66"/>
        <v>1213560</v>
      </c>
      <c r="O78" s="3857">
        <f t="shared" si="66"/>
        <v>898723</v>
      </c>
      <c r="P78" s="3857">
        <f t="shared" si="66"/>
        <v>0</v>
      </c>
      <c r="Q78" s="3857">
        <f t="shared" si="66"/>
        <v>0</v>
      </c>
      <c r="R78" s="3857"/>
      <c r="S78" s="3857"/>
      <c r="T78" s="3857"/>
      <c r="U78" s="3857"/>
      <c r="V78" s="3857"/>
      <c r="W78" s="3857"/>
      <c r="X78" s="3844">
        <f>+X79+X82</f>
        <v>0</v>
      </c>
      <c r="Y78" s="4207"/>
      <c r="Z78" s="3812">
        <f>+O78+P78+Q78+R78</f>
        <v>898723</v>
      </c>
    </row>
    <row r="79" spans="1:29" ht="13.5" customHeight="1">
      <c r="A79" s="4205"/>
      <c r="B79" s="3858" t="s">
        <v>36</v>
      </c>
      <c r="C79" s="4209" t="s">
        <v>161</v>
      </c>
      <c r="D79" s="3847">
        <f>+D80+D81</f>
        <v>377169</v>
      </c>
      <c r="E79" s="3847"/>
      <c r="F79" s="3847"/>
      <c r="G79" s="3847"/>
      <c r="H79" s="3847"/>
      <c r="I79" s="3847"/>
      <c r="J79" s="3847"/>
      <c r="K79" s="3847"/>
      <c r="L79" s="3847">
        <f t="shared" ref="L79:Q79" si="67">+L80+L81</f>
        <v>60327</v>
      </c>
      <c r="M79" s="3847">
        <f t="shared" si="67"/>
        <v>242361</v>
      </c>
      <c r="N79" s="3847">
        <f t="shared" si="67"/>
        <v>182034</v>
      </c>
      <c r="O79" s="3847">
        <f t="shared" si="67"/>
        <v>134808</v>
      </c>
      <c r="P79" s="3847">
        <f t="shared" si="67"/>
        <v>0</v>
      </c>
      <c r="Q79" s="3847">
        <f t="shared" si="67"/>
        <v>0</v>
      </c>
      <c r="R79" s="3847"/>
      <c r="S79" s="3847"/>
      <c r="T79" s="3847"/>
      <c r="U79" s="3847"/>
      <c r="V79" s="3847"/>
      <c r="W79" s="3847"/>
      <c r="X79" s="3860">
        <f>+X80+X81</f>
        <v>0</v>
      </c>
      <c r="Y79" s="4207"/>
      <c r="Z79" s="3798"/>
    </row>
    <row r="80" spans="1:29" ht="11.25" customHeight="1">
      <c r="A80" s="4205"/>
      <c r="B80" s="3850" t="s">
        <v>24</v>
      </c>
      <c r="C80" s="4210"/>
      <c r="D80" s="3851">
        <f t="shared" ref="D80:D81" si="68">M80+O80+P80+Q80+R80+S80+T80+U80+V80+W80</f>
        <v>37717</v>
      </c>
      <c r="E80" s="3852"/>
      <c r="F80" s="3852"/>
      <c r="G80" s="3852"/>
      <c r="H80" s="3859"/>
      <c r="I80" s="3859"/>
      <c r="J80" s="3859"/>
      <c r="K80" s="3852"/>
      <c r="L80" s="3852">
        <f>6123-90</f>
        <v>6033</v>
      </c>
      <c r="M80" s="3852">
        <f t="shared" ref="M80" si="69">+L80+K80+J80+I80+E80+N80</f>
        <v>24236</v>
      </c>
      <c r="N80" s="3852">
        <f>19185+90-1072</f>
        <v>18203</v>
      </c>
      <c r="O80" s="3852">
        <f>13680+1072-1266-5</f>
        <v>13481</v>
      </c>
      <c r="P80" s="3852">
        <v>0</v>
      </c>
      <c r="Q80" s="3852">
        <v>0</v>
      </c>
      <c r="R80" s="3852"/>
      <c r="S80" s="3852"/>
      <c r="T80" s="3852"/>
      <c r="U80" s="3852"/>
      <c r="V80" s="3852"/>
      <c r="W80" s="3852"/>
      <c r="X80" s="3853">
        <f>SUM(P80:T80)</f>
        <v>0</v>
      </c>
      <c r="Y80" s="4207"/>
      <c r="Z80" s="3798"/>
    </row>
    <row r="81" spans="1:29">
      <c r="A81" s="4205"/>
      <c r="B81" s="3850" t="s">
        <v>25</v>
      </c>
      <c r="C81" s="4210"/>
      <c r="D81" s="3851">
        <f t="shared" si="68"/>
        <v>339452</v>
      </c>
      <c r="E81" s="3852"/>
      <c r="F81" s="3852"/>
      <c r="G81" s="3852"/>
      <c r="H81" s="3859"/>
      <c r="I81" s="3859"/>
      <c r="J81" s="3859"/>
      <c r="K81" s="3852"/>
      <c r="L81" s="3852">
        <f>55101-807</f>
        <v>54294</v>
      </c>
      <c r="M81" s="3852">
        <f>+L81+K81+J81+I81+E81+N81</f>
        <v>218125</v>
      </c>
      <c r="N81" s="3852">
        <f>172654+807-9630</f>
        <v>163831</v>
      </c>
      <c r="O81" s="3852">
        <f>123114+9630-11412-5</f>
        <v>121327</v>
      </c>
      <c r="P81" s="3852">
        <v>0</v>
      </c>
      <c r="Q81" s="3852">
        <v>0</v>
      </c>
      <c r="R81" s="3852"/>
      <c r="S81" s="3852"/>
      <c r="T81" s="3852"/>
      <c r="U81" s="3852"/>
      <c r="V81" s="3852"/>
      <c r="W81" s="3852"/>
      <c r="X81" s="3853">
        <f>SUM(P81:T81)</f>
        <v>0</v>
      </c>
      <c r="Y81" s="4207"/>
      <c r="Z81" s="3798"/>
    </row>
    <row r="82" spans="1:29" ht="12.75" customHeight="1">
      <c r="A82" s="4205"/>
      <c r="B82" s="3845" t="s">
        <v>30</v>
      </c>
      <c r="C82" s="4210"/>
      <c r="D82" s="3846">
        <f>+D83</f>
        <v>2137290</v>
      </c>
      <c r="E82" s="3846"/>
      <c r="F82" s="3846"/>
      <c r="G82" s="3846"/>
      <c r="H82" s="3846"/>
      <c r="I82" s="3846"/>
      <c r="J82" s="3846"/>
      <c r="K82" s="3846"/>
      <c r="L82" s="3846">
        <f t="shared" ref="L82:Q82" si="70">+L83</f>
        <v>341849</v>
      </c>
      <c r="M82" s="3846">
        <f t="shared" si="70"/>
        <v>1373375</v>
      </c>
      <c r="N82" s="3846">
        <f t="shared" si="70"/>
        <v>1031526</v>
      </c>
      <c r="O82" s="3846">
        <f t="shared" si="70"/>
        <v>763915</v>
      </c>
      <c r="P82" s="3846">
        <f t="shared" si="70"/>
        <v>0</v>
      </c>
      <c r="Q82" s="3846">
        <f t="shared" si="70"/>
        <v>0</v>
      </c>
      <c r="R82" s="3846"/>
      <c r="S82" s="3846"/>
      <c r="T82" s="3846"/>
      <c r="U82" s="3846"/>
      <c r="V82" s="3846"/>
      <c r="W82" s="3846"/>
      <c r="X82" s="3861">
        <f>+X83</f>
        <v>0</v>
      </c>
      <c r="Y82" s="4207"/>
      <c r="Z82" s="3798"/>
    </row>
    <row r="83" spans="1:29">
      <c r="A83" s="4205"/>
      <c r="B83" s="3850" t="s">
        <v>33</v>
      </c>
      <c r="C83" s="4210"/>
      <c r="D83" s="3851">
        <f>M83+O83+P83+Q83+R83+S83+T83+U83+V83+W83</f>
        <v>2137290</v>
      </c>
      <c r="E83" s="3852"/>
      <c r="F83" s="3852"/>
      <c r="G83" s="3852"/>
      <c r="H83" s="3859"/>
      <c r="I83" s="3859"/>
      <c r="J83" s="3859"/>
      <c r="K83" s="3852"/>
      <c r="L83" s="3852">
        <f>346931-5082</f>
        <v>341849</v>
      </c>
      <c r="M83" s="3852">
        <f>+L83+K83+J83+I83+E83+N83</f>
        <v>1373375</v>
      </c>
      <c r="N83" s="3852">
        <f>1087072+5082-60628</f>
        <v>1031526</v>
      </c>
      <c r="O83" s="3852">
        <f>775162+60628-71872-3</f>
        <v>763915</v>
      </c>
      <c r="P83" s="3852">
        <v>0</v>
      </c>
      <c r="Q83" s="3852">
        <v>0</v>
      </c>
      <c r="R83" s="3852"/>
      <c r="S83" s="3852"/>
      <c r="T83" s="3852"/>
      <c r="U83" s="3852"/>
      <c r="V83" s="3852"/>
      <c r="W83" s="3852"/>
      <c r="X83" s="3853">
        <f>SUM(P83:T83)</f>
        <v>0</v>
      </c>
      <c r="Y83" s="4207"/>
      <c r="Z83" s="3798"/>
    </row>
    <row r="84" spans="1:29" ht="13.5" customHeight="1">
      <c r="A84" s="4205"/>
      <c r="B84" s="3842" t="s">
        <v>34</v>
      </c>
      <c r="C84" s="3817"/>
      <c r="D84" s="3843">
        <f>+D85+D87</f>
        <v>2476742</v>
      </c>
      <c r="E84" s="3843"/>
      <c r="F84" s="3843"/>
      <c r="G84" s="3843"/>
      <c r="H84" s="3843"/>
      <c r="I84" s="3843"/>
      <c r="J84" s="3843"/>
      <c r="K84" s="3843"/>
      <c r="L84" s="3843">
        <f t="shared" ref="L84:Q84" si="71">+L85+L87</f>
        <v>401225</v>
      </c>
      <c r="M84" s="3843">
        <f t="shared" si="71"/>
        <v>1652128</v>
      </c>
      <c r="N84" s="3843">
        <f t="shared" si="71"/>
        <v>1250903</v>
      </c>
      <c r="O84" s="3843">
        <f t="shared" si="71"/>
        <v>824614</v>
      </c>
      <c r="P84" s="3843">
        <f t="shared" si="71"/>
        <v>0</v>
      </c>
      <c r="Q84" s="3843">
        <f t="shared" si="71"/>
        <v>0</v>
      </c>
      <c r="R84" s="3843"/>
      <c r="S84" s="3843"/>
      <c r="T84" s="3843"/>
      <c r="U84" s="3843"/>
      <c r="V84" s="3843"/>
      <c r="W84" s="3843"/>
      <c r="X84" s="4214" t="s">
        <v>77</v>
      </c>
      <c r="Y84" s="4218"/>
      <c r="Z84" s="3798"/>
    </row>
    <row r="85" spans="1:29" ht="11.25" customHeight="1">
      <c r="A85" s="4205"/>
      <c r="B85" s="3858" t="s">
        <v>36</v>
      </c>
      <c r="C85" s="4211" t="s">
        <v>165</v>
      </c>
      <c r="D85" s="3846">
        <f>+D86</f>
        <v>339452</v>
      </c>
      <c r="E85" s="3846"/>
      <c r="F85" s="3846"/>
      <c r="G85" s="3846"/>
      <c r="H85" s="3846"/>
      <c r="I85" s="3846"/>
      <c r="J85" s="3846"/>
      <c r="K85" s="3846"/>
      <c r="L85" s="3846">
        <f t="shared" ref="L85:Q85" si="72">+L86</f>
        <v>54294</v>
      </c>
      <c r="M85" s="3846">
        <f t="shared" si="72"/>
        <v>218125</v>
      </c>
      <c r="N85" s="3846">
        <f t="shared" si="72"/>
        <v>163831</v>
      </c>
      <c r="O85" s="3846">
        <f t="shared" si="72"/>
        <v>121327</v>
      </c>
      <c r="P85" s="3846">
        <f t="shared" si="72"/>
        <v>0</v>
      </c>
      <c r="Q85" s="3846">
        <f t="shared" si="72"/>
        <v>0</v>
      </c>
      <c r="R85" s="3846"/>
      <c r="S85" s="3846"/>
      <c r="T85" s="3846"/>
      <c r="U85" s="3846"/>
      <c r="V85" s="3846"/>
      <c r="W85" s="3846"/>
      <c r="X85" s="4214"/>
      <c r="Y85" s="4218"/>
      <c r="Z85" s="3798"/>
    </row>
    <row r="86" spans="1:29" ht="11.25" customHeight="1">
      <c r="A86" s="4205"/>
      <c r="B86" s="3850" t="s">
        <v>25</v>
      </c>
      <c r="C86" s="4210"/>
      <c r="D86" s="3851">
        <f>M86+O86+P86+Q86+R86+S86+T86+U86+V86+W86</f>
        <v>339452</v>
      </c>
      <c r="E86" s="3852"/>
      <c r="F86" s="3851"/>
      <c r="G86" s="3851"/>
      <c r="H86" s="3851"/>
      <c r="I86" s="3851"/>
      <c r="J86" s="3851"/>
      <c r="K86" s="3851"/>
      <c r="L86" s="3851">
        <f>55101-807</f>
        <v>54294</v>
      </c>
      <c r="M86" s="3852">
        <f>+L86+K86+J86+I86+E86+N86</f>
        <v>218125</v>
      </c>
      <c r="N86" s="3851">
        <f>172654+807-9630</f>
        <v>163831</v>
      </c>
      <c r="O86" s="3851">
        <f>123114+9630-11412-5</f>
        <v>121327</v>
      </c>
      <c r="P86" s="3851">
        <v>0</v>
      </c>
      <c r="Q86" s="3851">
        <v>0</v>
      </c>
      <c r="R86" s="3851"/>
      <c r="S86" s="3851"/>
      <c r="T86" s="3851"/>
      <c r="U86" s="3851"/>
      <c r="V86" s="3851"/>
      <c r="W86" s="3851"/>
      <c r="X86" s="4214"/>
      <c r="Y86" s="4218"/>
      <c r="Z86" s="3798"/>
    </row>
    <row r="87" spans="1:29" ht="12" customHeight="1">
      <c r="A87" s="4205"/>
      <c r="B87" s="3845" t="s">
        <v>30</v>
      </c>
      <c r="C87" s="4212"/>
      <c r="D87" s="3846">
        <f>+D88</f>
        <v>2137290</v>
      </c>
      <c r="E87" s="3846"/>
      <c r="F87" s="3846"/>
      <c r="G87" s="3846"/>
      <c r="H87" s="3846"/>
      <c r="I87" s="3846"/>
      <c r="J87" s="3846"/>
      <c r="K87" s="3846"/>
      <c r="L87" s="3846">
        <f t="shared" ref="L87:Q87" si="73">+L88</f>
        <v>346931</v>
      </c>
      <c r="M87" s="3846">
        <f t="shared" si="73"/>
        <v>1434003</v>
      </c>
      <c r="N87" s="3846">
        <f t="shared" si="73"/>
        <v>1087072</v>
      </c>
      <c r="O87" s="3846">
        <f t="shared" si="73"/>
        <v>703287</v>
      </c>
      <c r="P87" s="3846">
        <f t="shared" si="73"/>
        <v>0</v>
      </c>
      <c r="Q87" s="3846">
        <f t="shared" si="73"/>
        <v>0</v>
      </c>
      <c r="R87" s="3846"/>
      <c r="S87" s="3846"/>
      <c r="T87" s="3846"/>
      <c r="U87" s="3846"/>
      <c r="V87" s="3846"/>
      <c r="W87" s="3846"/>
      <c r="X87" s="4214"/>
      <c r="Y87" s="4218"/>
      <c r="Z87" s="3798"/>
    </row>
    <row r="88" spans="1:29" ht="11.25" customHeight="1">
      <c r="A88" s="4205"/>
      <c r="B88" s="3856" t="s">
        <v>33</v>
      </c>
      <c r="C88" s="4212"/>
      <c r="D88" s="3851">
        <f>M88+O88+P88+Q88+R88+S88+T88+U88+V88+W88</f>
        <v>2137290</v>
      </c>
      <c r="E88" s="3852"/>
      <c r="F88" s="3852"/>
      <c r="G88" s="3852"/>
      <c r="H88" s="3852"/>
      <c r="I88" s="3852"/>
      <c r="J88" s="3852"/>
      <c r="K88" s="3852"/>
      <c r="L88" s="3852">
        <v>346931</v>
      </c>
      <c r="M88" s="3852">
        <f>+L88+K88+J88+I88+E88+N88</f>
        <v>1434003</v>
      </c>
      <c r="N88" s="3852">
        <v>1087072</v>
      </c>
      <c r="O88" s="3852">
        <f>775162-71872-3</f>
        <v>703287</v>
      </c>
      <c r="P88" s="3852">
        <v>0</v>
      </c>
      <c r="Q88" s="3852">
        <v>0</v>
      </c>
      <c r="R88" s="3852"/>
      <c r="S88" s="3852"/>
      <c r="T88" s="3852"/>
      <c r="U88" s="3852"/>
      <c r="V88" s="3852"/>
      <c r="W88" s="3852"/>
      <c r="X88" s="4214"/>
      <c r="Y88" s="4218"/>
      <c r="Z88" s="3798"/>
    </row>
    <row r="89" spans="1:29" ht="18" customHeight="1">
      <c r="A89" s="4205" t="s">
        <v>83</v>
      </c>
      <c r="B89" s="3838" t="s">
        <v>166</v>
      </c>
      <c r="C89" s="3839" t="s">
        <v>131</v>
      </c>
      <c r="D89" s="3829"/>
      <c r="E89" s="3829"/>
      <c r="F89" s="3829"/>
      <c r="G89" s="3829"/>
      <c r="H89" s="3829"/>
      <c r="I89" s="3841"/>
      <c r="J89" s="3841"/>
      <c r="K89" s="3841"/>
      <c r="L89" s="3841"/>
      <c r="M89" s="3841"/>
      <c r="N89" s="3841"/>
      <c r="O89" s="3841"/>
      <c r="P89" s="3841"/>
      <c r="Q89" s="3841"/>
      <c r="R89" s="3841"/>
      <c r="S89" s="3841"/>
      <c r="T89" s="3841"/>
      <c r="U89" s="3841"/>
      <c r="V89" s="3841"/>
      <c r="W89" s="3841"/>
      <c r="X89" s="3819"/>
      <c r="Y89" s="4207" t="s">
        <v>156</v>
      </c>
      <c r="Z89" s="3798"/>
      <c r="AC89" s="2372"/>
    </row>
    <row r="90" spans="1:29" ht="13.5" customHeight="1">
      <c r="A90" s="4205"/>
      <c r="B90" s="3842" t="s">
        <v>22</v>
      </c>
      <c r="C90" s="3817"/>
      <c r="D90" s="3857">
        <f>+D91+D94</f>
        <v>12819829</v>
      </c>
      <c r="E90" s="3857"/>
      <c r="F90" s="3857"/>
      <c r="G90" s="3857"/>
      <c r="H90" s="3857"/>
      <c r="I90" s="3857"/>
      <c r="J90" s="3857"/>
      <c r="K90" s="3857"/>
      <c r="L90" s="3857">
        <f t="shared" ref="L90:P90" si="74">+L91+L94</f>
        <v>0</v>
      </c>
      <c r="M90" s="3857">
        <f t="shared" si="74"/>
        <v>7479807</v>
      </c>
      <c r="N90" s="3857">
        <f t="shared" si="74"/>
        <v>7479807</v>
      </c>
      <c r="O90" s="3857">
        <f t="shared" si="74"/>
        <v>5340022</v>
      </c>
      <c r="P90" s="3857">
        <f t="shared" si="74"/>
        <v>0</v>
      </c>
      <c r="Q90" s="3857">
        <f t="shared" ref="Q90" si="75">+Q91+Q94</f>
        <v>0</v>
      </c>
      <c r="R90" s="3857"/>
      <c r="S90" s="3857"/>
      <c r="T90" s="3857"/>
      <c r="U90" s="3857"/>
      <c r="V90" s="3857"/>
      <c r="W90" s="3857"/>
      <c r="X90" s="3844">
        <f>+X91+X94</f>
        <v>0</v>
      </c>
      <c r="Y90" s="4207"/>
      <c r="Z90" s="3812">
        <f>+O90+P90+Q90+R90</f>
        <v>5340022</v>
      </c>
      <c r="AA90" s="2358"/>
      <c r="AB90" s="2358"/>
      <c r="AC90" s="2358"/>
    </row>
    <row r="91" spans="1:29" ht="14.25" customHeight="1">
      <c r="A91" s="4205"/>
      <c r="B91" s="3858" t="s">
        <v>36</v>
      </c>
      <c r="C91" s="4209" t="s">
        <v>161</v>
      </c>
      <c r="D91" s="3847">
        <f>+D92+D93</f>
        <v>243030</v>
      </c>
      <c r="E91" s="3847"/>
      <c r="F91" s="3847"/>
      <c r="G91" s="3847"/>
      <c r="H91" s="3847"/>
      <c r="I91" s="3847"/>
      <c r="J91" s="3847"/>
      <c r="K91" s="3847"/>
      <c r="L91" s="3847">
        <f t="shared" ref="L91:P91" si="76">+L92+L93</f>
        <v>0</v>
      </c>
      <c r="M91" s="3847">
        <f t="shared" si="76"/>
        <v>138094</v>
      </c>
      <c r="N91" s="3847">
        <f t="shared" si="76"/>
        <v>138094</v>
      </c>
      <c r="O91" s="3847">
        <f t="shared" si="76"/>
        <v>104936</v>
      </c>
      <c r="P91" s="3847">
        <f t="shared" si="76"/>
        <v>0</v>
      </c>
      <c r="Q91" s="3847">
        <f t="shared" ref="Q91" si="77">+Q92+Q93</f>
        <v>0</v>
      </c>
      <c r="R91" s="3847"/>
      <c r="S91" s="3847"/>
      <c r="T91" s="3847"/>
      <c r="U91" s="3847"/>
      <c r="V91" s="3847"/>
      <c r="W91" s="3847"/>
      <c r="X91" s="3860">
        <f>+X92+X93</f>
        <v>0</v>
      </c>
      <c r="Y91" s="4207"/>
      <c r="Z91" s="3798"/>
    </row>
    <row r="92" spans="1:29" ht="13.5" customHeight="1">
      <c r="A92" s="4205"/>
      <c r="B92" s="3850" t="s">
        <v>24</v>
      </c>
      <c r="C92" s="4210"/>
      <c r="D92" s="3851">
        <f>M92+O92+P92+Q92+R92+S92+T92+U92+V92+W92</f>
        <v>243030</v>
      </c>
      <c r="E92" s="3852"/>
      <c r="F92" s="3852"/>
      <c r="G92" s="3852"/>
      <c r="H92" s="3859"/>
      <c r="I92" s="3859"/>
      <c r="J92" s="3859"/>
      <c r="K92" s="3852"/>
      <c r="L92" s="3852"/>
      <c r="M92" s="3852">
        <f>+L92+K92+J92+I92+E92+N92</f>
        <v>138094</v>
      </c>
      <c r="N92" s="3852">
        <f>153089-14995</f>
        <v>138094</v>
      </c>
      <c r="O92" s="3852">
        <f>126771-2299-19533-3</f>
        <v>104936</v>
      </c>
      <c r="P92" s="3852">
        <v>0</v>
      </c>
      <c r="Q92" s="3852">
        <v>0</v>
      </c>
      <c r="R92" s="3852"/>
      <c r="S92" s="3852"/>
      <c r="T92" s="3852"/>
      <c r="U92" s="3852"/>
      <c r="V92" s="3852"/>
      <c r="W92" s="3852"/>
      <c r="X92" s="3853">
        <f>SUM(P92:T92)</f>
        <v>0</v>
      </c>
      <c r="Y92" s="4207"/>
      <c r="Z92" s="3798"/>
    </row>
    <row r="93" spans="1:29" ht="11.25" hidden="1" customHeight="1">
      <c r="A93" s="4205"/>
      <c r="B93" s="3850" t="s">
        <v>25</v>
      </c>
      <c r="C93" s="4210"/>
      <c r="D93" s="3851">
        <f>SUM(L93:Q93)</f>
        <v>0</v>
      </c>
      <c r="E93" s="3852"/>
      <c r="F93" s="3852"/>
      <c r="G93" s="3852"/>
      <c r="H93" s="3859"/>
      <c r="I93" s="3859"/>
      <c r="J93" s="3859"/>
      <c r="K93" s="3852"/>
      <c r="L93" s="3852"/>
      <c r="M93" s="3852"/>
      <c r="N93" s="3852"/>
      <c r="O93" s="3852"/>
      <c r="P93" s="3852"/>
      <c r="Q93" s="3852"/>
      <c r="R93" s="3852"/>
      <c r="S93" s="3852"/>
      <c r="T93" s="3852"/>
      <c r="U93" s="3852"/>
      <c r="V93" s="3852"/>
      <c r="W93" s="3852"/>
      <c r="X93" s="3853">
        <f>SUM(P93:S93)</f>
        <v>0</v>
      </c>
      <c r="Y93" s="4207"/>
      <c r="Z93" s="3798"/>
    </row>
    <row r="94" spans="1:29" ht="13.5" customHeight="1">
      <c r="A94" s="4205"/>
      <c r="B94" s="3845" t="s">
        <v>30</v>
      </c>
      <c r="C94" s="4210"/>
      <c r="D94" s="3846">
        <f>+D95</f>
        <v>12576799</v>
      </c>
      <c r="E94" s="3846"/>
      <c r="F94" s="3846"/>
      <c r="G94" s="3846"/>
      <c r="H94" s="3846"/>
      <c r="I94" s="3846"/>
      <c r="J94" s="3846"/>
      <c r="K94" s="3846"/>
      <c r="L94" s="3846">
        <f t="shared" ref="L94:P94" si="78">+L95</f>
        <v>0</v>
      </c>
      <c r="M94" s="3846">
        <f t="shared" si="78"/>
        <v>7341713</v>
      </c>
      <c r="N94" s="3846">
        <f t="shared" si="78"/>
        <v>7341713</v>
      </c>
      <c r="O94" s="3846">
        <f t="shared" si="78"/>
        <v>5235086</v>
      </c>
      <c r="P94" s="3846">
        <f t="shared" si="78"/>
        <v>0</v>
      </c>
      <c r="Q94" s="3846">
        <f t="shared" ref="Q94" si="79">+Q95</f>
        <v>0</v>
      </c>
      <c r="R94" s="3846"/>
      <c r="S94" s="3846"/>
      <c r="T94" s="3846"/>
      <c r="U94" s="3846"/>
      <c r="V94" s="3846"/>
      <c r="W94" s="3846"/>
      <c r="X94" s="3861">
        <f>+X95</f>
        <v>0</v>
      </c>
      <c r="Y94" s="4207"/>
      <c r="Z94" s="3798"/>
    </row>
    <row r="95" spans="1:29" s="2373" customFormat="1" ht="15" customHeight="1">
      <c r="A95" s="4205"/>
      <c r="B95" s="3856" t="s">
        <v>33</v>
      </c>
      <c r="C95" s="4210"/>
      <c r="D95" s="3851">
        <f>M95+O95+P95+Q95+R95+S95+T95+U95+V95+W95</f>
        <v>12576799</v>
      </c>
      <c r="E95" s="3852"/>
      <c r="F95" s="3852"/>
      <c r="G95" s="3852"/>
      <c r="H95" s="3859"/>
      <c r="I95" s="3859"/>
      <c r="J95" s="3859"/>
      <c r="K95" s="3852"/>
      <c r="L95" s="3852"/>
      <c r="M95" s="3852">
        <f>+L95+K95+J95+I95+E95+N95</f>
        <v>7341713</v>
      </c>
      <c r="N95" s="3852">
        <f>8732603-65760-1318882-6248</f>
        <v>7341713</v>
      </c>
      <c r="O95" s="3852">
        <f>4026231+65760+1318882+6248-182031-4</f>
        <v>5235086</v>
      </c>
      <c r="P95" s="3852">
        <v>0</v>
      </c>
      <c r="Q95" s="3852">
        <v>0</v>
      </c>
      <c r="R95" s="3852"/>
      <c r="S95" s="3852"/>
      <c r="T95" s="3852"/>
      <c r="U95" s="3852"/>
      <c r="V95" s="3852"/>
      <c r="W95" s="3852"/>
      <c r="X95" s="3853">
        <f>SUM(P95:T95)</f>
        <v>0</v>
      </c>
      <c r="Y95" s="4207"/>
      <c r="Z95" s="3870"/>
    </row>
    <row r="96" spans="1:29" ht="13.5" customHeight="1">
      <c r="A96" s="4205"/>
      <c r="B96" s="3842" t="s">
        <v>34</v>
      </c>
      <c r="C96" s="3817"/>
      <c r="D96" s="3843">
        <f>+D97+D99</f>
        <v>12576799</v>
      </c>
      <c r="E96" s="3843"/>
      <c r="F96" s="3843"/>
      <c r="G96" s="3843"/>
      <c r="H96" s="3843"/>
      <c r="I96" s="3843"/>
      <c r="J96" s="3843"/>
      <c r="K96" s="3843"/>
      <c r="L96" s="3843">
        <f t="shared" ref="L96:P96" si="80">+L97+L99</f>
        <v>0</v>
      </c>
      <c r="M96" s="3843">
        <f t="shared" si="80"/>
        <v>8666843</v>
      </c>
      <c r="N96" s="3843">
        <f t="shared" si="80"/>
        <v>8666843</v>
      </c>
      <c r="O96" s="3843">
        <f t="shared" si="80"/>
        <v>3909956</v>
      </c>
      <c r="P96" s="3843">
        <f t="shared" si="80"/>
        <v>0</v>
      </c>
      <c r="Q96" s="3843">
        <f t="shared" ref="Q96" si="81">+Q97+Q99</f>
        <v>0</v>
      </c>
      <c r="R96" s="3843"/>
      <c r="S96" s="3843"/>
      <c r="T96" s="3843"/>
      <c r="U96" s="3843"/>
      <c r="V96" s="3843"/>
      <c r="W96" s="3843"/>
      <c r="X96" s="4214" t="s">
        <v>77</v>
      </c>
      <c r="Y96" s="4218"/>
      <c r="Z96" s="3798"/>
    </row>
    <row r="97" spans="1:35" ht="13.5" hidden="1" customHeight="1">
      <c r="A97" s="4205"/>
      <c r="B97" s="3858" t="s">
        <v>36</v>
      </c>
      <c r="C97" s="4211" t="s">
        <v>165</v>
      </c>
      <c r="D97" s="3846">
        <f>+D98</f>
        <v>0</v>
      </c>
      <c r="E97" s="3846"/>
      <c r="F97" s="3846"/>
      <c r="G97" s="3846"/>
      <c r="H97" s="3846"/>
      <c r="I97" s="3846"/>
      <c r="J97" s="3846"/>
      <c r="K97" s="3846"/>
      <c r="L97" s="3846">
        <f t="shared" ref="L97:P97" si="82">+L98</f>
        <v>0</v>
      </c>
      <c r="M97" s="3846">
        <f t="shared" si="82"/>
        <v>0</v>
      </c>
      <c r="N97" s="3846">
        <f t="shared" si="82"/>
        <v>0</v>
      </c>
      <c r="O97" s="3846">
        <f t="shared" si="82"/>
        <v>0</v>
      </c>
      <c r="P97" s="3846">
        <f t="shared" si="82"/>
        <v>0</v>
      </c>
      <c r="Q97" s="3846">
        <f t="shared" ref="Q97" si="83">+Q98</f>
        <v>0</v>
      </c>
      <c r="R97" s="3846"/>
      <c r="S97" s="3846"/>
      <c r="T97" s="3846"/>
      <c r="U97" s="3846"/>
      <c r="V97" s="3846"/>
      <c r="W97" s="3846"/>
      <c r="X97" s="4214"/>
      <c r="Y97" s="4218"/>
      <c r="Z97" s="3798"/>
    </row>
    <row r="98" spans="1:35" ht="11.25" hidden="1" customHeight="1">
      <c r="A98" s="4205"/>
      <c r="B98" s="3850" t="s">
        <v>25</v>
      </c>
      <c r="C98" s="4210"/>
      <c r="D98" s="3851">
        <f>SUM(L98:Q98)</f>
        <v>0</v>
      </c>
      <c r="E98" s="3852"/>
      <c r="F98" s="3851"/>
      <c r="G98" s="3851"/>
      <c r="H98" s="3851"/>
      <c r="I98" s="3851"/>
      <c r="J98" s="3851"/>
      <c r="K98" s="3851"/>
      <c r="L98" s="3851"/>
      <c r="M98" s="3852">
        <f>+L98+K98+J98+I98+E98+N98</f>
        <v>0</v>
      </c>
      <c r="N98" s="3851"/>
      <c r="O98" s="3851"/>
      <c r="P98" s="3851"/>
      <c r="Q98" s="3851"/>
      <c r="R98" s="3851"/>
      <c r="S98" s="3851"/>
      <c r="T98" s="3851"/>
      <c r="U98" s="3851"/>
      <c r="V98" s="3851"/>
      <c r="W98" s="3851"/>
      <c r="X98" s="4214"/>
      <c r="Y98" s="4218"/>
      <c r="Z98" s="3798"/>
    </row>
    <row r="99" spans="1:35" s="2373" customFormat="1" ht="15" customHeight="1">
      <c r="A99" s="4205"/>
      <c r="B99" s="3871" t="s">
        <v>30</v>
      </c>
      <c r="C99" s="4212"/>
      <c r="D99" s="3846">
        <f>+D100</f>
        <v>12576799</v>
      </c>
      <c r="E99" s="3846"/>
      <c r="F99" s="3846"/>
      <c r="G99" s="3846"/>
      <c r="H99" s="3846"/>
      <c r="I99" s="3846"/>
      <c r="J99" s="3846"/>
      <c r="K99" s="3846"/>
      <c r="L99" s="3846">
        <f t="shared" ref="L99:P99" si="84">+L100</f>
        <v>0</v>
      </c>
      <c r="M99" s="3846">
        <f t="shared" si="84"/>
        <v>8666843</v>
      </c>
      <c r="N99" s="3846">
        <f t="shared" si="84"/>
        <v>8666843</v>
      </c>
      <c r="O99" s="3846">
        <f t="shared" si="84"/>
        <v>3909956</v>
      </c>
      <c r="P99" s="3846">
        <f t="shared" si="84"/>
        <v>0</v>
      </c>
      <c r="Q99" s="3846">
        <f t="shared" ref="Q99" si="85">+Q100</f>
        <v>0</v>
      </c>
      <c r="R99" s="3846"/>
      <c r="S99" s="3846"/>
      <c r="T99" s="3846"/>
      <c r="U99" s="3846"/>
      <c r="V99" s="3846"/>
      <c r="W99" s="3846"/>
      <c r="X99" s="4214"/>
      <c r="Y99" s="4218"/>
      <c r="Z99" s="3870"/>
    </row>
    <row r="100" spans="1:35" ht="13.5" customHeight="1">
      <c r="A100" s="4205"/>
      <c r="B100" s="3856" t="s">
        <v>33</v>
      </c>
      <c r="C100" s="4212"/>
      <c r="D100" s="3851">
        <f>M100+O100+P100+Q100+R100+S100+T100+U100+V100+W100</f>
        <v>12576799</v>
      </c>
      <c r="E100" s="3852"/>
      <c r="F100" s="3852"/>
      <c r="G100" s="3852"/>
      <c r="H100" s="3852"/>
      <c r="I100" s="3852"/>
      <c r="J100" s="3852"/>
      <c r="K100" s="3852"/>
      <c r="L100" s="3852"/>
      <c r="M100" s="3852">
        <f>+L100+K100+J100+I100+E100+N100</f>
        <v>8666843</v>
      </c>
      <c r="N100" s="3852">
        <f>8732603-65760</f>
        <v>8666843</v>
      </c>
      <c r="O100" s="3852">
        <f>4026231+65760-182031-4</f>
        <v>3909956</v>
      </c>
      <c r="P100" s="3852">
        <v>0</v>
      </c>
      <c r="Q100" s="3852">
        <v>0</v>
      </c>
      <c r="R100" s="3852"/>
      <c r="S100" s="3852"/>
      <c r="T100" s="3852"/>
      <c r="U100" s="3852"/>
      <c r="V100" s="3852"/>
      <c r="W100" s="3852"/>
      <c r="X100" s="4214"/>
      <c r="Y100" s="4218"/>
      <c r="Z100" s="3798"/>
    </row>
    <row r="101" spans="1:35" hidden="1">
      <c r="A101" s="4205" t="s">
        <v>106</v>
      </c>
      <c r="B101" s="3838"/>
      <c r="C101" s="3839" t="s">
        <v>131</v>
      </c>
      <c r="D101" s="3829"/>
      <c r="E101" s="3829"/>
      <c r="F101" s="3829"/>
      <c r="G101" s="3829"/>
      <c r="H101" s="3829"/>
      <c r="I101" s="3841"/>
      <c r="J101" s="3841"/>
      <c r="K101" s="3841"/>
      <c r="L101" s="3841"/>
      <c r="M101" s="3841"/>
      <c r="N101" s="3841"/>
      <c r="O101" s="3841"/>
      <c r="P101" s="3841"/>
      <c r="Q101" s="3841"/>
      <c r="R101" s="3841"/>
      <c r="S101" s="3841"/>
      <c r="T101" s="3841"/>
      <c r="U101" s="3841"/>
      <c r="V101" s="3841"/>
      <c r="W101" s="3841"/>
      <c r="X101" s="3819"/>
      <c r="Y101" s="4207" t="s">
        <v>156</v>
      </c>
      <c r="Z101" s="3812"/>
      <c r="AA101" s="2358"/>
      <c r="AB101" s="2358"/>
      <c r="AC101" s="2358"/>
      <c r="AD101" s="2358"/>
      <c r="AE101" s="2358"/>
      <c r="AF101" s="2358"/>
      <c r="AG101" s="2358"/>
      <c r="AH101" s="2358"/>
      <c r="AI101" s="2358"/>
    </row>
    <row r="102" spans="1:35" ht="13.5" hidden="1" customHeight="1">
      <c r="A102" s="4205"/>
      <c r="B102" s="3842" t="s">
        <v>22</v>
      </c>
      <c r="C102" s="3817"/>
      <c r="D102" s="3857">
        <f t="shared" ref="D102:L102" si="86">+D103+D106</f>
        <v>0</v>
      </c>
      <c r="E102" s="3857">
        <f>+E103+E106</f>
        <v>0</v>
      </c>
      <c r="F102" s="3857">
        <f t="shared" si="86"/>
        <v>0</v>
      </c>
      <c r="G102" s="3857">
        <f t="shared" si="86"/>
        <v>0</v>
      </c>
      <c r="H102" s="3857">
        <f t="shared" si="86"/>
        <v>0</v>
      </c>
      <c r="I102" s="3857">
        <f t="shared" si="86"/>
        <v>0</v>
      </c>
      <c r="J102" s="3857">
        <f t="shared" si="86"/>
        <v>0</v>
      </c>
      <c r="K102" s="3857">
        <f t="shared" si="86"/>
        <v>0</v>
      </c>
      <c r="L102" s="3857">
        <f t="shared" si="86"/>
        <v>0</v>
      </c>
      <c r="M102" s="3857">
        <f t="shared" ref="M102" si="87">+M103+M106</f>
        <v>0</v>
      </c>
      <c r="N102" s="3857">
        <f>+N103+N106</f>
        <v>0</v>
      </c>
      <c r="O102" s="3857">
        <f>+O103+O106</f>
        <v>0</v>
      </c>
      <c r="P102" s="3857">
        <f>+P103+P106</f>
        <v>0</v>
      </c>
      <c r="Q102" s="3857"/>
      <c r="R102" s="3857"/>
      <c r="S102" s="3857"/>
      <c r="T102" s="3857"/>
      <c r="U102" s="3857"/>
      <c r="V102" s="3857"/>
      <c r="W102" s="3857"/>
      <c r="X102" s="3844">
        <f>+X103+X106</f>
        <v>0</v>
      </c>
      <c r="Y102" s="4207"/>
      <c r="Z102" s="3812">
        <f>+O102+P102+Q102+R102</f>
        <v>0</v>
      </c>
    </row>
    <row r="103" spans="1:35" ht="12.75" hidden="1" customHeight="1">
      <c r="A103" s="4205"/>
      <c r="B103" s="3858" t="s">
        <v>36</v>
      </c>
      <c r="C103" s="4209" t="s">
        <v>463</v>
      </c>
      <c r="D103" s="3847">
        <f t="shared" ref="D103:L103" si="88">+D104+D105</f>
        <v>0</v>
      </c>
      <c r="E103" s="3847">
        <f t="shared" si="88"/>
        <v>0</v>
      </c>
      <c r="F103" s="3847">
        <f t="shared" si="88"/>
        <v>0</v>
      </c>
      <c r="G103" s="3847">
        <f t="shared" si="88"/>
        <v>0</v>
      </c>
      <c r="H103" s="3847">
        <f t="shared" si="88"/>
        <v>0</v>
      </c>
      <c r="I103" s="3847">
        <f t="shared" si="88"/>
        <v>0</v>
      </c>
      <c r="J103" s="3847">
        <f t="shared" si="88"/>
        <v>0</v>
      </c>
      <c r="K103" s="3847">
        <f t="shared" si="88"/>
        <v>0</v>
      </c>
      <c r="L103" s="3847">
        <f t="shared" si="88"/>
        <v>0</v>
      </c>
      <c r="M103" s="3847">
        <f t="shared" ref="M103" si="89">+M104+M105</f>
        <v>0</v>
      </c>
      <c r="N103" s="3847">
        <f>+N104+N105</f>
        <v>0</v>
      </c>
      <c r="O103" s="3847">
        <f>+O104+O105</f>
        <v>0</v>
      </c>
      <c r="P103" s="3847">
        <f>+P104+P105</f>
        <v>0</v>
      </c>
      <c r="Q103" s="3847"/>
      <c r="R103" s="3847"/>
      <c r="S103" s="3847"/>
      <c r="T103" s="3847"/>
      <c r="U103" s="3847"/>
      <c r="V103" s="3847"/>
      <c r="W103" s="3847"/>
      <c r="X103" s="3860">
        <f>+X104+X105</f>
        <v>0</v>
      </c>
      <c r="Y103" s="4207"/>
      <c r="Z103" s="3798"/>
    </row>
    <row r="104" spans="1:35" ht="13.5" hidden="1" customHeight="1">
      <c r="A104" s="4205"/>
      <c r="B104" s="3850" t="s">
        <v>24</v>
      </c>
      <c r="C104" s="4210"/>
      <c r="D104" s="3851">
        <f>+E104+I104+J104+K104+L104</f>
        <v>0</v>
      </c>
      <c r="E104" s="3852">
        <f>+F104+G104+H104</f>
        <v>0</v>
      </c>
      <c r="F104" s="3852">
        <v>0</v>
      </c>
      <c r="G104" s="3852"/>
      <c r="H104" s="3859"/>
      <c r="I104" s="3859"/>
      <c r="J104" s="3859"/>
      <c r="K104" s="3852">
        <v>0</v>
      </c>
      <c r="L104" s="3852">
        <v>0</v>
      </c>
      <c r="M104" s="3852"/>
      <c r="N104" s="3852"/>
      <c r="O104" s="3852"/>
      <c r="P104" s="3852"/>
      <c r="Q104" s="3852"/>
      <c r="R104" s="3852"/>
      <c r="S104" s="3852"/>
      <c r="T104" s="3852"/>
      <c r="U104" s="3852"/>
      <c r="V104" s="3852"/>
      <c r="W104" s="3852"/>
      <c r="X104" s="3853"/>
      <c r="Y104" s="4207"/>
      <c r="Z104" s="3798"/>
    </row>
    <row r="105" spans="1:35" ht="13.5" hidden="1" customHeight="1">
      <c r="A105" s="4205"/>
      <c r="B105" s="3850" t="s">
        <v>25</v>
      </c>
      <c r="C105" s="4210"/>
      <c r="D105" s="3851">
        <f t="shared" ref="D105" si="90">SUM(M105:R105)</f>
        <v>0</v>
      </c>
      <c r="E105" s="3852">
        <f>+F105+G105+H105</f>
        <v>0</v>
      </c>
      <c r="F105" s="3852"/>
      <c r="G105" s="3852"/>
      <c r="H105" s="3859"/>
      <c r="I105" s="3859"/>
      <c r="J105" s="3859"/>
      <c r="K105" s="3852"/>
      <c r="L105" s="3852"/>
      <c r="M105" s="3852">
        <f t="shared" ref="M105" si="91">+L105+K105+J105+I105+E105</f>
        <v>0</v>
      </c>
      <c r="N105" s="3852"/>
      <c r="O105" s="3852">
        <v>0</v>
      </c>
      <c r="P105" s="3852">
        <v>0</v>
      </c>
      <c r="Q105" s="3852"/>
      <c r="R105" s="3852"/>
      <c r="S105" s="3852"/>
      <c r="T105" s="3852"/>
      <c r="U105" s="3852"/>
      <c r="V105" s="3852"/>
      <c r="W105" s="3852"/>
      <c r="X105" s="3853">
        <f>SUM(P105:S105)</f>
        <v>0</v>
      </c>
      <c r="Y105" s="4207"/>
      <c r="Z105" s="3798"/>
    </row>
    <row r="106" spans="1:35" ht="12.75" hidden="1" customHeight="1">
      <c r="A106" s="4205"/>
      <c r="B106" s="3845" t="s">
        <v>30</v>
      </c>
      <c r="C106" s="4210"/>
      <c r="D106" s="3846">
        <f>+D107</f>
        <v>0</v>
      </c>
      <c r="E106" s="3846">
        <f t="shared" ref="E106:X106" si="92">+E107</f>
        <v>0</v>
      </c>
      <c r="F106" s="3846">
        <f t="shared" si="92"/>
        <v>0</v>
      </c>
      <c r="G106" s="3846">
        <f t="shared" si="92"/>
        <v>0</v>
      </c>
      <c r="H106" s="3846">
        <f t="shared" si="92"/>
        <v>0</v>
      </c>
      <c r="I106" s="3846">
        <f t="shared" si="92"/>
        <v>0</v>
      </c>
      <c r="J106" s="3846">
        <f t="shared" si="92"/>
        <v>0</v>
      </c>
      <c r="K106" s="3846">
        <f t="shared" si="92"/>
        <v>0</v>
      </c>
      <c r="L106" s="3846">
        <f t="shared" si="92"/>
        <v>0</v>
      </c>
      <c r="M106" s="3846">
        <f t="shared" si="92"/>
        <v>0</v>
      </c>
      <c r="N106" s="3846">
        <f t="shared" si="92"/>
        <v>0</v>
      </c>
      <c r="O106" s="3846">
        <f t="shared" si="92"/>
        <v>0</v>
      </c>
      <c r="P106" s="3846">
        <f t="shared" si="92"/>
        <v>0</v>
      </c>
      <c r="Q106" s="3846"/>
      <c r="R106" s="3846"/>
      <c r="S106" s="3846"/>
      <c r="T106" s="3846"/>
      <c r="U106" s="3846"/>
      <c r="V106" s="3846"/>
      <c r="W106" s="3846"/>
      <c r="X106" s="3861">
        <f t="shared" si="92"/>
        <v>0</v>
      </c>
      <c r="Y106" s="4207"/>
      <c r="Z106" s="3798"/>
    </row>
    <row r="107" spans="1:35" ht="12" hidden="1" customHeight="1">
      <c r="A107" s="4205"/>
      <c r="B107" s="3850" t="s">
        <v>33</v>
      </c>
      <c r="C107" s="4210"/>
      <c r="D107" s="3851">
        <f t="shared" ref="D107" si="93">SUM(M107:R107)</f>
        <v>0</v>
      </c>
      <c r="E107" s="3852">
        <f>+F107+G107+H107</f>
        <v>0</v>
      </c>
      <c r="F107" s="3852">
        <v>0</v>
      </c>
      <c r="G107" s="3852"/>
      <c r="H107" s="3859"/>
      <c r="I107" s="3859"/>
      <c r="J107" s="3859"/>
      <c r="K107" s="3852"/>
      <c r="L107" s="3852"/>
      <c r="M107" s="3852">
        <f t="shared" ref="M107" si="94">+L107+K107+J107+I107+E107</f>
        <v>0</v>
      </c>
      <c r="N107" s="3852"/>
      <c r="O107" s="3852">
        <v>0</v>
      </c>
      <c r="P107" s="3852">
        <v>0</v>
      </c>
      <c r="Q107" s="3852"/>
      <c r="R107" s="3852"/>
      <c r="S107" s="3852"/>
      <c r="T107" s="3852"/>
      <c r="U107" s="3852"/>
      <c r="V107" s="3852"/>
      <c r="W107" s="3852"/>
      <c r="X107" s="3853">
        <f>SUM(P107:S107)</f>
        <v>0</v>
      </c>
      <c r="Y107" s="4207"/>
      <c r="Z107" s="3798"/>
    </row>
    <row r="108" spans="1:35" ht="10.5" hidden="1" customHeight="1">
      <c r="A108" s="4205"/>
      <c r="B108" s="3842" t="s">
        <v>34</v>
      </c>
      <c r="C108" s="3817"/>
      <c r="D108" s="3843">
        <f t="shared" ref="D108:L108" si="95">+D109+D111</f>
        <v>0</v>
      </c>
      <c r="E108" s="3843">
        <f t="shared" si="95"/>
        <v>0</v>
      </c>
      <c r="F108" s="3843">
        <f t="shared" si="95"/>
        <v>0</v>
      </c>
      <c r="G108" s="3843">
        <f t="shared" si="95"/>
        <v>0</v>
      </c>
      <c r="H108" s="3843">
        <f t="shared" si="95"/>
        <v>0</v>
      </c>
      <c r="I108" s="3843">
        <f t="shared" si="95"/>
        <v>0</v>
      </c>
      <c r="J108" s="3843">
        <f t="shared" si="95"/>
        <v>0</v>
      </c>
      <c r="K108" s="3843">
        <f t="shared" si="95"/>
        <v>0</v>
      </c>
      <c r="L108" s="3843">
        <f t="shared" si="95"/>
        <v>0</v>
      </c>
      <c r="M108" s="3843">
        <f t="shared" ref="M108" si="96">+M109+M111</f>
        <v>0</v>
      </c>
      <c r="N108" s="3843">
        <f>+N109+N111</f>
        <v>0</v>
      </c>
      <c r="O108" s="3843">
        <f>+O109+O111</f>
        <v>0</v>
      </c>
      <c r="P108" s="3843">
        <f>+P109+P111</f>
        <v>0</v>
      </c>
      <c r="Q108" s="3843"/>
      <c r="R108" s="3843"/>
      <c r="S108" s="3843"/>
      <c r="T108" s="3843"/>
      <c r="U108" s="3843"/>
      <c r="V108" s="3843"/>
      <c r="W108" s="3843"/>
      <c r="X108" s="4214" t="s">
        <v>77</v>
      </c>
      <c r="Y108" s="4207"/>
      <c r="Z108" s="3798"/>
    </row>
    <row r="109" spans="1:35" ht="13.5" hidden="1" customHeight="1">
      <c r="A109" s="4205"/>
      <c r="B109" s="3858" t="s">
        <v>36</v>
      </c>
      <c r="C109" s="4211" t="s">
        <v>462</v>
      </c>
      <c r="D109" s="3846">
        <f t="shared" ref="D109:P109" si="97">+D110</f>
        <v>0</v>
      </c>
      <c r="E109" s="3846">
        <f t="shared" si="97"/>
        <v>0</v>
      </c>
      <c r="F109" s="3846">
        <f t="shared" si="97"/>
        <v>0</v>
      </c>
      <c r="G109" s="3846">
        <f t="shared" si="97"/>
        <v>0</v>
      </c>
      <c r="H109" s="3846">
        <f t="shared" si="97"/>
        <v>0</v>
      </c>
      <c r="I109" s="3846">
        <f t="shared" si="97"/>
        <v>0</v>
      </c>
      <c r="J109" s="3846">
        <f t="shared" si="97"/>
        <v>0</v>
      </c>
      <c r="K109" s="3846">
        <f t="shared" si="97"/>
        <v>0</v>
      </c>
      <c r="L109" s="3846">
        <f t="shared" si="97"/>
        <v>0</v>
      </c>
      <c r="M109" s="3846">
        <f t="shared" si="97"/>
        <v>0</v>
      </c>
      <c r="N109" s="3846">
        <f t="shared" si="97"/>
        <v>0</v>
      </c>
      <c r="O109" s="3846">
        <f t="shared" si="97"/>
        <v>0</v>
      </c>
      <c r="P109" s="3846">
        <f t="shared" si="97"/>
        <v>0</v>
      </c>
      <c r="Q109" s="3846"/>
      <c r="R109" s="3846"/>
      <c r="S109" s="3846"/>
      <c r="T109" s="3846"/>
      <c r="U109" s="3846"/>
      <c r="V109" s="3846"/>
      <c r="W109" s="3846"/>
      <c r="X109" s="4214"/>
      <c r="Y109" s="4207"/>
      <c r="Z109" s="3798"/>
    </row>
    <row r="110" spans="1:35" ht="11.25" hidden="1" customHeight="1">
      <c r="A110" s="4205"/>
      <c r="B110" s="3850" t="s">
        <v>25</v>
      </c>
      <c r="C110" s="4210"/>
      <c r="D110" s="3851">
        <f t="shared" ref="D110" si="98">SUM(M110:R110)</f>
        <v>0</v>
      </c>
      <c r="E110" s="3852">
        <f>+F110+G110+H110</f>
        <v>0</v>
      </c>
      <c r="F110" s="3851"/>
      <c r="G110" s="3851"/>
      <c r="H110" s="3851"/>
      <c r="I110" s="3851"/>
      <c r="J110" s="3851"/>
      <c r="K110" s="3851"/>
      <c r="L110" s="3851"/>
      <c r="M110" s="3852">
        <f t="shared" ref="M110" si="99">+L110+K110+J110+I110+E110</f>
        <v>0</v>
      </c>
      <c r="N110" s="3851"/>
      <c r="O110" s="3851">
        <v>0</v>
      </c>
      <c r="P110" s="3851">
        <v>0</v>
      </c>
      <c r="Q110" s="3851"/>
      <c r="R110" s="3851"/>
      <c r="S110" s="3851"/>
      <c r="T110" s="3851"/>
      <c r="U110" s="3851"/>
      <c r="V110" s="3851"/>
      <c r="W110" s="3851"/>
      <c r="X110" s="4214"/>
      <c r="Y110" s="4207"/>
      <c r="Z110" s="3798"/>
    </row>
    <row r="111" spans="1:35" ht="12" hidden="1" customHeight="1">
      <c r="A111" s="4205"/>
      <c r="B111" s="3845" t="s">
        <v>30</v>
      </c>
      <c r="C111" s="4212"/>
      <c r="D111" s="3846">
        <f t="shared" ref="D111:P111" si="100">+D112</f>
        <v>0</v>
      </c>
      <c r="E111" s="3846">
        <f t="shared" si="100"/>
        <v>0</v>
      </c>
      <c r="F111" s="3846">
        <f t="shared" si="100"/>
        <v>0</v>
      </c>
      <c r="G111" s="3846">
        <f t="shared" si="100"/>
        <v>0</v>
      </c>
      <c r="H111" s="3846">
        <f t="shared" si="100"/>
        <v>0</v>
      </c>
      <c r="I111" s="3846">
        <f t="shared" si="100"/>
        <v>0</v>
      </c>
      <c r="J111" s="3846">
        <f t="shared" si="100"/>
        <v>0</v>
      </c>
      <c r="K111" s="3846">
        <f t="shared" si="100"/>
        <v>0</v>
      </c>
      <c r="L111" s="3846">
        <f t="shared" si="100"/>
        <v>0</v>
      </c>
      <c r="M111" s="3846">
        <f t="shared" si="100"/>
        <v>0</v>
      </c>
      <c r="N111" s="3846">
        <f t="shared" si="100"/>
        <v>0</v>
      </c>
      <c r="O111" s="3846">
        <f t="shared" si="100"/>
        <v>0</v>
      </c>
      <c r="P111" s="3846">
        <f t="shared" si="100"/>
        <v>0</v>
      </c>
      <c r="Q111" s="3846"/>
      <c r="R111" s="3846"/>
      <c r="S111" s="3846"/>
      <c r="T111" s="3846"/>
      <c r="U111" s="3846"/>
      <c r="V111" s="3846"/>
      <c r="W111" s="3846"/>
      <c r="X111" s="4214"/>
      <c r="Y111" s="4207"/>
      <c r="Z111" s="3798"/>
    </row>
    <row r="112" spans="1:35" ht="12.75" hidden="1" customHeight="1" thickBot="1">
      <c r="A112" s="4205"/>
      <c r="B112" s="3798" t="s">
        <v>33</v>
      </c>
      <c r="C112" s="4212"/>
      <c r="D112" s="3851">
        <f>SUM(M112:R112)</f>
        <v>0</v>
      </c>
      <c r="E112" s="3852">
        <f>+F112+G112+H112</f>
        <v>0</v>
      </c>
      <c r="F112" s="3852"/>
      <c r="G112" s="3852"/>
      <c r="H112" s="3852"/>
      <c r="I112" s="3852"/>
      <c r="J112" s="3852"/>
      <c r="K112" s="3852"/>
      <c r="L112" s="3852"/>
      <c r="M112" s="3852">
        <f>+L112+K112+J112+I112+E112</f>
        <v>0</v>
      </c>
      <c r="N112" s="3852"/>
      <c r="O112" s="3852">
        <v>0</v>
      </c>
      <c r="P112" s="3852">
        <v>0</v>
      </c>
      <c r="Q112" s="3852"/>
      <c r="R112" s="3852"/>
      <c r="S112" s="3852"/>
      <c r="T112" s="3852"/>
      <c r="U112" s="3852"/>
      <c r="V112" s="3852"/>
      <c r="W112" s="3852"/>
      <c r="X112" s="4214"/>
      <c r="Y112" s="4207"/>
      <c r="Z112" s="3798"/>
    </row>
    <row r="113" spans="1:27" ht="17.25" customHeight="1">
      <c r="A113" s="4205" t="s">
        <v>140</v>
      </c>
      <c r="B113" s="3838" t="s">
        <v>168</v>
      </c>
      <c r="C113" s="3839" t="s">
        <v>131</v>
      </c>
      <c r="D113" s="3829"/>
      <c r="E113" s="3829"/>
      <c r="F113" s="3829"/>
      <c r="G113" s="3829"/>
      <c r="H113" s="3829"/>
      <c r="I113" s="3841"/>
      <c r="J113" s="3841"/>
      <c r="K113" s="3841"/>
      <c r="L113" s="3841"/>
      <c r="M113" s="3841"/>
      <c r="N113" s="3841"/>
      <c r="O113" s="3841"/>
      <c r="P113" s="3841"/>
      <c r="Q113" s="3841"/>
      <c r="R113" s="3841"/>
      <c r="S113" s="3841"/>
      <c r="T113" s="3841"/>
      <c r="U113" s="3841"/>
      <c r="V113" s="3841"/>
      <c r="W113" s="3841"/>
      <c r="X113" s="3819"/>
      <c r="Y113" s="4207" t="s">
        <v>156</v>
      </c>
      <c r="Z113" s="3812"/>
      <c r="AA113" s="2358"/>
    </row>
    <row r="114" spans="1:27" ht="12" customHeight="1">
      <c r="A114" s="4205"/>
      <c r="B114" s="3842" t="s">
        <v>22</v>
      </c>
      <c r="C114" s="3817"/>
      <c r="D114" s="3857">
        <f t="shared" ref="D114:L114" si="101">+D115+D118</f>
        <v>64256411</v>
      </c>
      <c r="E114" s="3857">
        <f t="shared" si="101"/>
        <v>10959072</v>
      </c>
      <c r="F114" s="3857">
        <f t="shared" si="101"/>
        <v>323328</v>
      </c>
      <c r="G114" s="3857">
        <f t="shared" si="101"/>
        <v>4209823</v>
      </c>
      <c r="H114" s="3857">
        <f t="shared" si="101"/>
        <v>6425921</v>
      </c>
      <c r="I114" s="3857">
        <f t="shared" si="101"/>
        <v>7739328</v>
      </c>
      <c r="J114" s="3857">
        <f t="shared" si="101"/>
        <v>8524529</v>
      </c>
      <c r="K114" s="3857">
        <f t="shared" si="101"/>
        <v>8426857</v>
      </c>
      <c r="L114" s="3857">
        <f t="shared" si="101"/>
        <v>9915447</v>
      </c>
      <c r="M114" s="3857">
        <f t="shared" ref="M114" si="102">+M115+M118</f>
        <v>55176469</v>
      </c>
      <c r="N114" s="3857">
        <f>+N115+N118</f>
        <v>9611236</v>
      </c>
      <c r="O114" s="3857">
        <f>+O115+O118</f>
        <v>9079942</v>
      </c>
      <c r="P114" s="3857">
        <f>+P115+P118</f>
        <v>0</v>
      </c>
      <c r="Q114" s="3857"/>
      <c r="R114" s="3857"/>
      <c r="S114" s="3857"/>
      <c r="T114" s="3857"/>
      <c r="U114" s="3857"/>
      <c r="V114" s="3857"/>
      <c r="W114" s="3857"/>
      <c r="X114" s="3844">
        <f>+X115+X118</f>
        <v>0</v>
      </c>
      <c r="Y114" s="4207"/>
      <c r="Z114" s="3812">
        <f>+O114+P114+Q114+R114</f>
        <v>9079942</v>
      </c>
    </row>
    <row r="115" spans="1:27" ht="13.5" customHeight="1">
      <c r="A115" s="4205"/>
      <c r="B115" s="3858" t="s">
        <v>36</v>
      </c>
      <c r="C115" s="4209" t="s">
        <v>167</v>
      </c>
      <c r="D115" s="3847">
        <f t="shared" ref="D115:L115" si="103">+D116+D117</f>
        <v>9638458</v>
      </c>
      <c r="E115" s="3847">
        <f t="shared" si="103"/>
        <v>1643859</v>
      </c>
      <c r="F115" s="3847">
        <f t="shared" si="103"/>
        <v>48498</v>
      </c>
      <c r="G115" s="3847">
        <f t="shared" si="103"/>
        <v>631473</v>
      </c>
      <c r="H115" s="3847">
        <f t="shared" si="103"/>
        <v>963888</v>
      </c>
      <c r="I115" s="3847">
        <f t="shared" si="103"/>
        <v>1160899</v>
      </c>
      <c r="J115" s="3847">
        <f t="shared" si="103"/>
        <v>1278679</v>
      </c>
      <c r="K115" s="3847">
        <f t="shared" si="103"/>
        <v>1264029</v>
      </c>
      <c r="L115" s="3847">
        <f t="shared" si="103"/>
        <v>1487316</v>
      </c>
      <c r="M115" s="3847">
        <f t="shared" ref="M115" si="104">+M116+M117</f>
        <v>8276467</v>
      </c>
      <c r="N115" s="3847">
        <f>+N116+N117</f>
        <v>1441685</v>
      </c>
      <c r="O115" s="3847">
        <f>+O116+O117</f>
        <v>1361991</v>
      </c>
      <c r="P115" s="3847">
        <f>+P116+P117</f>
        <v>0</v>
      </c>
      <c r="Q115" s="3847"/>
      <c r="R115" s="3847"/>
      <c r="S115" s="3847"/>
      <c r="T115" s="3847"/>
      <c r="U115" s="3847"/>
      <c r="V115" s="3847"/>
      <c r="W115" s="3847"/>
      <c r="X115" s="3860">
        <f>+X116+X117</f>
        <v>0</v>
      </c>
      <c r="Y115" s="4207"/>
      <c r="Z115" s="3798"/>
    </row>
    <row r="116" spans="1:27" ht="11.25" customHeight="1">
      <c r="A116" s="4205"/>
      <c r="B116" s="3850" t="s">
        <v>24</v>
      </c>
      <c r="C116" s="4210"/>
      <c r="D116" s="3851">
        <f>M116+O116+P116+Q116+R116+S116+T116+U116+V116+W116</f>
        <v>9624880</v>
      </c>
      <c r="E116" s="3852">
        <f>+F116+G116+H116</f>
        <v>1643859</v>
      </c>
      <c r="F116" s="3852">
        <f>50367-1869</f>
        <v>48498</v>
      </c>
      <c r="G116" s="3852">
        <f>644261-12788</f>
        <v>631473</v>
      </c>
      <c r="H116" s="3859">
        <f>974729-10841</f>
        <v>963888</v>
      </c>
      <c r="I116" s="3859">
        <v>1157208</v>
      </c>
      <c r="J116" s="3859">
        <f>1616568+7500-219886-129493-5897</f>
        <v>1268792</v>
      </c>
      <c r="K116" s="3852">
        <v>1264029</v>
      </c>
      <c r="L116" s="3852">
        <f>1273333+86823+116117-7941+104910-85926</f>
        <v>1487316</v>
      </c>
      <c r="M116" s="3852">
        <f t="shared" ref="M116:M117" si="105">+L116+K116+J116+I116+E116+N116</f>
        <v>8262889</v>
      </c>
      <c r="N116" s="3859">
        <f>1360063+111353+199764-158823-70672</f>
        <v>1441685</v>
      </c>
      <c r="O116" s="3852">
        <f>1360236-134648+252279-115876</f>
        <v>1361991</v>
      </c>
      <c r="P116" s="3852">
        <v>0</v>
      </c>
      <c r="Q116" s="3852"/>
      <c r="R116" s="3852"/>
      <c r="S116" s="3852"/>
      <c r="T116" s="3852"/>
      <c r="U116" s="3852"/>
      <c r="V116" s="3852"/>
      <c r="W116" s="3852"/>
      <c r="X116" s="3853">
        <f>SUM(P116:T116)</f>
        <v>0</v>
      </c>
      <c r="Y116" s="4207"/>
      <c r="Z116" s="3798"/>
    </row>
    <row r="117" spans="1:27" ht="11.25" customHeight="1">
      <c r="A117" s="4205"/>
      <c r="B117" s="3850" t="s">
        <v>25</v>
      </c>
      <c r="C117" s="4210"/>
      <c r="D117" s="3851">
        <f>M117+O117+P117+Q117+R117+S117+T117+U117+V117+W117</f>
        <v>13578</v>
      </c>
      <c r="E117" s="3852">
        <f>+F117+G117+H117</f>
        <v>0</v>
      </c>
      <c r="F117" s="3852"/>
      <c r="G117" s="3852">
        <v>0</v>
      </c>
      <c r="H117" s="3859"/>
      <c r="I117" s="3859">
        <f>10500-6809</f>
        <v>3691</v>
      </c>
      <c r="J117" s="3859">
        <f>13500-3613</f>
        <v>9887</v>
      </c>
      <c r="K117" s="3852">
        <v>0</v>
      </c>
      <c r="L117" s="3852">
        <v>0</v>
      </c>
      <c r="M117" s="3852">
        <f t="shared" si="105"/>
        <v>13578</v>
      </c>
      <c r="N117" s="3852">
        <v>0</v>
      </c>
      <c r="O117" s="3852">
        <v>0</v>
      </c>
      <c r="P117" s="3852">
        <v>0</v>
      </c>
      <c r="Q117" s="3852"/>
      <c r="R117" s="3852"/>
      <c r="S117" s="3852"/>
      <c r="T117" s="3852"/>
      <c r="U117" s="3852"/>
      <c r="V117" s="3852"/>
      <c r="W117" s="3852"/>
      <c r="X117" s="3853">
        <f>SUM(O117:R117)</f>
        <v>0</v>
      </c>
      <c r="Y117" s="4207"/>
      <c r="Z117" s="3812"/>
    </row>
    <row r="118" spans="1:27" ht="12.75" customHeight="1">
      <c r="A118" s="4205"/>
      <c r="B118" s="3845" t="s">
        <v>30</v>
      </c>
      <c r="C118" s="4210"/>
      <c r="D118" s="3846">
        <f>+D119</f>
        <v>54617953</v>
      </c>
      <c r="E118" s="3846">
        <f t="shared" ref="E118:X118" si="106">+E119</f>
        <v>9315213</v>
      </c>
      <c r="F118" s="3846">
        <f t="shared" si="106"/>
        <v>274830</v>
      </c>
      <c r="G118" s="3846">
        <f t="shared" si="106"/>
        <v>3578350</v>
      </c>
      <c r="H118" s="3846">
        <f t="shared" si="106"/>
        <v>5462033</v>
      </c>
      <c r="I118" s="3846">
        <f t="shared" si="106"/>
        <v>6578429</v>
      </c>
      <c r="J118" s="3846">
        <f t="shared" si="106"/>
        <v>7245850</v>
      </c>
      <c r="K118" s="3846">
        <f t="shared" si="106"/>
        <v>7162828</v>
      </c>
      <c r="L118" s="3846">
        <f t="shared" si="106"/>
        <v>8428131</v>
      </c>
      <c r="M118" s="3846">
        <f t="shared" si="106"/>
        <v>46900002</v>
      </c>
      <c r="N118" s="3846">
        <f t="shared" si="106"/>
        <v>8169551</v>
      </c>
      <c r="O118" s="3846">
        <f t="shared" si="106"/>
        <v>7717951</v>
      </c>
      <c r="P118" s="3846">
        <f t="shared" si="106"/>
        <v>0</v>
      </c>
      <c r="Q118" s="3846"/>
      <c r="R118" s="3846"/>
      <c r="S118" s="3846"/>
      <c r="T118" s="3846"/>
      <c r="U118" s="3846"/>
      <c r="V118" s="3846"/>
      <c r="W118" s="3846"/>
      <c r="X118" s="3861">
        <f t="shared" si="106"/>
        <v>0</v>
      </c>
      <c r="Y118" s="4207"/>
      <c r="Z118" s="3798"/>
    </row>
    <row r="119" spans="1:27" ht="12.75" customHeight="1">
      <c r="A119" s="4205"/>
      <c r="B119" s="3850" t="s">
        <v>33</v>
      </c>
      <c r="C119" s="4210"/>
      <c r="D119" s="3851">
        <f>M119+O119+P119+Q119+R119+S119+T119+U119+V119+W119</f>
        <v>54617953</v>
      </c>
      <c r="E119" s="3852">
        <f>+F119+G119+H119</f>
        <v>9315213</v>
      </c>
      <c r="F119" s="3852">
        <f>285418-10588</f>
        <v>274830</v>
      </c>
      <c r="G119" s="3852">
        <f>3650816-72466</f>
        <v>3578350</v>
      </c>
      <c r="H119" s="3859">
        <f>5523465-61432</f>
        <v>5462033</v>
      </c>
      <c r="I119" s="3859">
        <v>6578429</v>
      </c>
      <c r="J119" s="3859">
        <f>9237050+42500-1246020-754266-33414</f>
        <v>7245850</v>
      </c>
      <c r="K119" s="3852">
        <v>7162828</v>
      </c>
      <c r="L119" s="3852">
        <f>7215550+492000+658000-45000+594490-486909</f>
        <v>8428131</v>
      </c>
      <c r="M119" s="3852">
        <f>+L119+K119+J119+I119+E119+N119</f>
        <v>46900002</v>
      </c>
      <c r="N119" s="3852">
        <f>7707023+631000+1132000-899996-400476</f>
        <v>8169551</v>
      </c>
      <c r="O119" s="3852">
        <f>7708000-763000+1429580-656629</f>
        <v>7717951</v>
      </c>
      <c r="P119" s="3852">
        <v>0</v>
      </c>
      <c r="Q119" s="3852"/>
      <c r="R119" s="3852"/>
      <c r="S119" s="3852"/>
      <c r="T119" s="3852"/>
      <c r="U119" s="3852"/>
      <c r="V119" s="3852"/>
      <c r="W119" s="3852"/>
      <c r="X119" s="3853">
        <f>SUM(P119:T119)</f>
        <v>0</v>
      </c>
      <c r="Y119" s="4207"/>
      <c r="Z119" s="3798"/>
    </row>
    <row r="120" spans="1:27" ht="11.25" customHeight="1">
      <c r="A120" s="4205"/>
      <c r="B120" s="3842" t="s">
        <v>34</v>
      </c>
      <c r="C120" s="3817"/>
      <c r="D120" s="3843">
        <f t="shared" ref="D120:L120" si="107">+D121+D123</f>
        <v>54631531</v>
      </c>
      <c r="E120" s="3843">
        <f t="shared" si="107"/>
        <v>9315213</v>
      </c>
      <c r="F120" s="3843">
        <f t="shared" si="107"/>
        <v>274830</v>
      </c>
      <c r="G120" s="3843">
        <f t="shared" si="107"/>
        <v>3578350</v>
      </c>
      <c r="H120" s="3843">
        <f t="shared" si="107"/>
        <v>5462033</v>
      </c>
      <c r="I120" s="3843">
        <f t="shared" si="107"/>
        <v>6582120</v>
      </c>
      <c r="J120" s="3843">
        <f t="shared" si="107"/>
        <v>7255737</v>
      </c>
      <c r="K120" s="3843">
        <f t="shared" si="107"/>
        <v>7162828</v>
      </c>
      <c r="L120" s="3843">
        <f t="shared" si="107"/>
        <v>8428131</v>
      </c>
      <c r="M120" s="3843">
        <f t="shared" ref="M120" si="108">+M121+M123</f>
        <v>46913580</v>
      </c>
      <c r="N120" s="3843">
        <f>+N121+N123</f>
        <v>8169551</v>
      </c>
      <c r="O120" s="3843">
        <f>+O121+O123</f>
        <v>7717951</v>
      </c>
      <c r="P120" s="3843">
        <f>+P121+P123</f>
        <v>0</v>
      </c>
      <c r="Q120" s="3843"/>
      <c r="R120" s="3843"/>
      <c r="S120" s="3843"/>
      <c r="T120" s="3843"/>
      <c r="U120" s="3843"/>
      <c r="V120" s="3843"/>
      <c r="W120" s="3843"/>
      <c r="X120" s="4214" t="s">
        <v>77</v>
      </c>
      <c r="Y120" s="4208"/>
      <c r="Z120" s="3798"/>
    </row>
    <row r="121" spans="1:27" ht="12.75" customHeight="1">
      <c r="A121" s="4205"/>
      <c r="B121" s="3858" t="s">
        <v>36</v>
      </c>
      <c r="C121" s="4211" t="s">
        <v>167</v>
      </c>
      <c r="D121" s="3846">
        <f t="shared" ref="D121:P121" si="109">+D122</f>
        <v>13578</v>
      </c>
      <c r="E121" s="3846">
        <f t="shared" si="109"/>
        <v>0</v>
      </c>
      <c r="F121" s="3846">
        <f t="shared" si="109"/>
        <v>0</v>
      </c>
      <c r="G121" s="3846">
        <f t="shared" si="109"/>
        <v>0</v>
      </c>
      <c r="H121" s="3846">
        <f t="shared" si="109"/>
        <v>0</v>
      </c>
      <c r="I121" s="3846">
        <f t="shared" si="109"/>
        <v>3691</v>
      </c>
      <c r="J121" s="3846">
        <f t="shared" si="109"/>
        <v>9887</v>
      </c>
      <c r="K121" s="3846">
        <f t="shared" si="109"/>
        <v>0</v>
      </c>
      <c r="L121" s="3846">
        <f t="shared" si="109"/>
        <v>0</v>
      </c>
      <c r="M121" s="3846">
        <f t="shared" si="109"/>
        <v>13578</v>
      </c>
      <c r="N121" s="3846">
        <f t="shared" si="109"/>
        <v>0</v>
      </c>
      <c r="O121" s="3846">
        <f t="shared" si="109"/>
        <v>0</v>
      </c>
      <c r="P121" s="3846">
        <f t="shared" si="109"/>
        <v>0</v>
      </c>
      <c r="Q121" s="3846"/>
      <c r="R121" s="3846"/>
      <c r="S121" s="3846"/>
      <c r="T121" s="3846"/>
      <c r="U121" s="3846"/>
      <c r="V121" s="3846"/>
      <c r="W121" s="3846"/>
      <c r="X121" s="4214"/>
      <c r="Y121" s="4208"/>
      <c r="Z121" s="3798"/>
    </row>
    <row r="122" spans="1:27" ht="12.75" customHeight="1">
      <c r="A122" s="4205"/>
      <c r="B122" s="3850" t="s">
        <v>25</v>
      </c>
      <c r="C122" s="4210"/>
      <c r="D122" s="3851">
        <f>M122+O122+P122+Q122+R122+S122+T122+U122+V122+W122</f>
        <v>13578</v>
      </c>
      <c r="E122" s="3852">
        <f>+F122+G122+H122</f>
        <v>0</v>
      </c>
      <c r="F122" s="3851"/>
      <c r="G122" s="3851"/>
      <c r="H122" s="3851"/>
      <c r="I122" s="3851">
        <f>10500-6809</f>
        <v>3691</v>
      </c>
      <c r="J122" s="3851">
        <f>13500-3613</f>
        <v>9887</v>
      </c>
      <c r="K122" s="3851">
        <v>0</v>
      </c>
      <c r="L122" s="3851">
        <v>0</v>
      </c>
      <c r="M122" s="3852">
        <f>+L122+K122+J122+I122+E122+N122</f>
        <v>13578</v>
      </c>
      <c r="N122" s="3851">
        <v>0</v>
      </c>
      <c r="O122" s="3851">
        <v>0</v>
      </c>
      <c r="P122" s="3851">
        <v>0</v>
      </c>
      <c r="Q122" s="3851"/>
      <c r="R122" s="3851"/>
      <c r="S122" s="3851"/>
      <c r="T122" s="3851"/>
      <c r="U122" s="3851"/>
      <c r="V122" s="3851"/>
      <c r="W122" s="3851"/>
      <c r="X122" s="4214"/>
      <c r="Y122" s="4208"/>
      <c r="Z122" s="3798"/>
    </row>
    <row r="123" spans="1:27" ht="13.5" customHeight="1">
      <c r="A123" s="4205"/>
      <c r="B123" s="3845" t="s">
        <v>30</v>
      </c>
      <c r="C123" s="4212"/>
      <c r="D123" s="3846">
        <f t="shared" ref="D123:P123" si="110">+D124</f>
        <v>54617953</v>
      </c>
      <c r="E123" s="3846">
        <f t="shared" si="110"/>
        <v>9315213</v>
      </c>
      <c r="F123" s="3846">
        <f t="shared" si="110"/>
        <v>274830</v>
      </c>
      <c r="G123" s="3846">
        <f t="shared" si="110"/>
        <v>3578350</v>
      </c>
      <c r="H123" s="3846">
        <f t="shared" si="110"/>
        <v>5462033</v>
      </c>
      <c r="I123" s="3846">
        <f t="shared" si="110"/>
        <v>6578429</v>
      </c>
      <c r="J123" s="3846">
        <f t="shared" si="110"/>
        <v>7245850</v>
      </c>
      <c r="K123" s="3846">
        <f t="shared" si="110"/>
        <v>7162828</v>
      </c>
      <c r="L123" s="3846">
        <f t="shared" si="110"/>
        <v>8428131</v>
      </c>
      <c r="M123" s="3846">
        <f t="shared" si="110"/>
        <v>46900002</v>
      </c>
      <c r="N123" s="3846">
        <f t="shared" si="110"/>
        <v>8169551</v>
      </c>
      <c r="O123" s="3846">
        <f t="shared" si="110"/>
        <v>7717951</v>
      </c>
      <c r="P123" s="3846">
        <f t="shared" si="110"/>
        <v>0</v>
      </c>
      <c r="Q123" s="3846"/>
      <c r="R123" s="3846"/>
      <c r="S123" s="3846"/>
      <c r="T123" s="3846"/>
      <c r="U123" s="3846"/>
      <c r="V123" s="3846"/>
      <c r="W123" s="3846"/>
      <c r="X123" s="4214"/>
      <c r="Y123" s="4208"/>
      <c r="Z123" s="3798"/>
    </row>
    <row r="124" spans="1:27" ht="12" customHeight="1">
      <c r="A124" s="4205"/>
      <c r="B124" s="3872" t="s">
        <v>33</v>
      </c>
      <c r="C124" s="4212"/>
      <c r="D124" s="3851">
        <f>M124+O124+P124+Q124+R124+S124+T124+U124+V124+W124</f>
        <v>54617953</v>
      </c>
      <c r="E124" s="3852">
        <f>+F124+G124+H124</f>
        <v>9315213</v>
      </c>
      <c r="F124" s="3852">
        <f>285418-10588</f>
        <v>274830</v>
      </c>
      <c r="G124" s="3852">
        <f>3650816-72466</f>
        <v>3578350</v>
      </c>
      <c r="H124" s="3852">
        <f>5523465-61432</f>
        <v>5462033</v>
      </c>
      <c r="I124" s="3852">
        <v>6578429</v>
      </c>
      <c r="J124" s="3852">
        <f>9279550-1246020-754266-33414</f>
        <v>7245850</v>
      </c>
      <c r="K124" s="3852">
        <v>7162828</v>
      </c>
      <c r="L124" s="3852">
        <f>7215550+492000+658000-45000+594490-486909</f>
        <v>8428131</v>
      </c>
      <c r="M124" s="3852">
        <f>+L124+K124+J124+I124+E124+N124</f>
        <v>46900002</v>
      </c>
      <c r="N124" s="3852">
        <f>7707023+631000+1132000-899996-400476</f>
        <v>8169551</v>
      </c>
      <c r="O124" s="3852">
        <f>7708000-763000+1429580-656629</f>
        <v>7717951</v>
      </c>
      <c r="P124" s="3852">
        <v>0</v>
      </c>
      <c r="Q124" s="3852"/>
      <c r="R124" s="3852"/>
      <c r="S124" s="3852"/>
      <c r="T124" s="3852"/>
      <c r="U124" s="3852"/>
      <c r="V124" s="3852"/>
      <c r="W124" s="3852"/>
      <c r="X124" s="4214"/>
      <c r="Y124" s="4208"/>
      <c r="Z124" s="3798"/>
    </row>
    <row r="125" spans="1:27" hidden="1">
      <c r="A125" s="4205" t="s">
        <v>109</v>
      </c>
      <c r="B125" s="3838"/>
      <c r="C125" s="3839"/>
      <c r="D125" s="3829"/>
      <c r="E125" s="3829"/>
      <c r="F125" s="3829"/>
      <c r="G125" s="3829"/>
      <c r="H125" s="3829"/>
      <c r="I125" s="3841"/>
      <c r="J125" s="3841"/>
      <c r="K125" s="3841"/>
      <c r="L125" s="3841"/>
      <c r="M125" s="3841"/>
      <c r="N125" s="3841"/>
      <c r="O125" s="3841"/>
      <c r="P125" s="3841"/>
      <c r="Q125" s="3841"/>
      <c r="R125" s="3841"/>
      <c r="S125" s="3841"/>
      <c r="T125" s="3841"/>
      <c r="U125" s="3841"/>
      <c r="V125" s="3841"/>
      <c r="W125" s="3841"/>
      <c r="X125" s="3819"/>
      <c r="Y125" s="4207" t="s">
        <v>156</v>
      </c>
      <c r="Z125" s="3798"/>
    </row>
    <row r="126" spans="1:27" ht="12" hidden="1" customHeight="1">
      <c r="A126" s="4205"/>
      <c r="B126" s="3842" t="s">
        <v>22</v>
      </c>
      <c r="C126" s="3817"/>
      <c r="D126" s="3857">
        <f t="shared" ref="D126:P126" si="111">+D127+D130</f>
        <v>0</v>
      </c>
      <c r="E126" s="3857">
        <f t="shared" si="111"/>
        <v>0</v>
      </c>
      <c r="F126" s="3857">
        <f t="shared" si="111"/>
        <v>0</v>
      </c>
      <c r="G126" s="3857">
        <f t="shared" si="111"/>
        <v>0</v>
      </c>
      <c r="H126" s="3857">
        <f t="shared" si="111"/>
        <v>0</v>
      </c>
      <c r="I126" s="3857">
        <f t="shared" si="111"/>
        <v>0</v>
      </c>
      <c r="J126" s="3857">
        <f t="shared" si="111"/>
        <v>0</v>
      </c>
      <c r="K126" s="3857">
        <f t="shared" si="111"/>
        <v>0</v>
      </c>
      <c r="L126" s="3857">
        <f t="shared" si="111"/>
        <v>0</v>
      </c>
      <c r="M126" s="3857">
        <f t="shared" ref="M126" si="112">+M127+M130</f>
        <v>0</v>
      </c>
      <c r="N126" s="3857">
        <f t="shared" si="111"/>
        <v>0</v>
      </c>
      <c r="O126" s="3857">
        <f t="shared" si="111"/>
        <v>0</v>
      </c>
      <c r="P126" s="3857">
        <f t="shared" si="111"/>
        <v>0</v>
      </c>
      <c r="Q126" s="3857"/>
      <c r="R126" s="3857"/>
      <c r="S126" s="3857"/>
      <c r="T126" s="3857"/>
      <c r="U126" s="3857"/>
      <c r="V126" s="3857"/>
      <c r="W126" s="3857"/>
      <c r="X126" s="3844">
        <f>+X127+X130</f>
        <v>0</v>
      </c>
      <c r="Y126" s="4207"/>
      <c r="Z126" s="3812">
        <f>+O126+P126+Q126+R126</f>
        <v>0</v>
      </c>
    </row>
    <row r="127" spans="1:27" hidden="1">
      <c r="A127" s="4205"/>
      <c r="B127" s="3858" t="s">
        <v>36</v>
      </c>
      <c r="C127" s="4209" t="s">
        <v>462</v>
      </c>
      <c r="D127" s="3847">
        <f t="shared" ref="D127:P127" si="113">+D128+D129</f>
        <v>0</v>
      </c>
      <c r="E127" s="3847">
        <f t="shared" si="113"/>
        <v>0</v>
      </c>
      <c r="F127" s="3847">
        <f t="shared" si="113"/>
        <v>0</v>
      </c>
      <c r="G127" s="3847">
        <f t="shared" si="113"/>
        <v>0</v>
      </c>
      <c r="H127" s="3847">
        <f t="shared" si="113"/>
        <v>0</v>
      </c>
      <c r="I127" s="3847">
        <f t="shared" si="113"/>
        <v>0</v>
      </c>
      <c r="J127" s="3847">
        <f t="shared" si="113"/>
        <v>0</v>
      </c>
      <c r="K127" s="3847">
        <f t="shared" si="113"/>
        <v>0</v>
      </c>
      <c r="L127" s="3847">
        <f t="shared" si="113"/>
        <v>0</v>
      </c>
      <c r="M127" s="3847">
        <f t="shared" ref="M127" si="114">+M128+M129</f>
        <v>0</v>
      </c>
      <c r="N127" s="3847">
        <f t="shared" si="113"/>
        <v>0</v>
      </c>
      <c r="O127" s="3847">
        <f t="shared" si="113"/>
        <v>0</v>
      </c>
      <c r="P127" s="3847">
        <f t="shared" si="113"/>
        <v>0</v>
      </c>
      <c r="Q127" s="3847"/>
      <c r="R127" s="3847"/>
      <c r="S127" s="3847"/>
      <c r="T127" s="3847"/>
      <c r="U127" s="3847"/>
      <c r="V127" s="3847"/>
      <c r="W127" s="3847"/>
      <c r="X127" s="3860">
        <f>+X128+X129</f>
        <v>0</v>
      </c>
      <c r="Y127" s="4207"/>
      <c r="Z127" s="3798"/>
    </row>
    <row r="128" spans="1:27" ht="11.25" hidden="1" customHeight="1">
      <c r="A128" s="4205"/>
      <c r="B128" s="3850" t="s">
        <v>24</v>
      </c>
      <c r="C128" s="4210"/>
      <c r="D128" s="3851">
        <f t="shared" ref="D128" si="115">SUM(M128:R128)</f>
        <v>0</v>
      </c>
      <c r="E128" s="3852">
        <f>+F128+G128+H128</f>
        <v>0</v>
      </c>
      <c r="F128" s="3852"/>
      <c r="G128" s="3852"/>
      <c r="H128" s="3852"/>
      <c r="I128" s="3859"/>
      <c r="J128" s="3859"/>
      <c r="K128" s="3852"/>
      <c r="L128" s="3852"/>
      <c r="M128" s="3852">
        <f t="shared" ref="M128" si="116">+L128+K128+J128+I128+E128</f>
        <v>0</v>
      </c>
      <c r="N128" s="3852"/>
      <c r="O128" s="3852"/>
      <c r="P128" s="3852">
        <v>0</v>
      </c>
      <c r="Q128" s="3852"/>
      <c r="R128" s="3852"/>
      <c r="S128" s="3852"/>
      <c r="T128" s="3852"/>
      <c r="U128" s="3852"/>
      <c r="V128" s="3852"/>
      <c r="W128" s="3852"/>
      <c r="X128" s="3853">
        <f>SUM(P128:S128)</f>
        <v>0</v>
      </c>
      <c r="Y128" s="4207"/>
      <c r="Z128" s="3798"/>
    </row>
    <row r="129" spans="1:26" ht="12" hidden="1" customHeight="1">
      <c r="A129" s="4205"/>
      <c r="B129" s="3850" t="s">
        <v>25</v>
      </c>
      <c r="C129" s="4210"/>
      <c r="D129" s="3851">
        <f>+E129+I129+J129+K129+L129+N129+O129</f>
        <v>0</v>
      </c>
      <c r="E129" s="3852">
        <f>+F129+G129+H129</f>
        <v>0</v>
      </c>
      <c r="F129" s="3852"/>
      <c r="G129" s="3852">
        <v>0</v>
      </c>
      <c r="H129" s="3859"/>
      <c r="I129" s="3859"/>
      <c r="J129" s="3859"/>
      <c r="K129" s="3852">
        <v>0</v>
      </c>
      <c r="L129" s="3852">
        <v>0</v>
      </c>
      <c r="M129" s="3852"/>
      <c r="N129" s="3852">
        <v>0</v>
      </c>
      <c r="O129" s="3852">
        <v>0</v>
      </c>
      <c r="P129" s="3852">
        <v>0</v>
      </c>
      <c r="Q129" s="3852"/>
      <c r="R129" s="3852"/>
      <c r="S129" s="3852"/>
      <c r="T129" s="3852"/>
      <c r="U129" s="3852"/>
      <c r="V129" s="3852"/>
      <c r="W129" s="3852"/>
      <c r="X129" s="3853">
        <f>SUM(O129:R129)</f>
        <v>0</v>
      </c>
      <c r="Y129" s="4207"/>
      <c r="Z129" s="3798"/>
    </row>
    <row r="130" spans="1:26" ht="12" hidden="1" customHeight="1">
      <c r="A130" s="4205"/>
      <c r="B130" s="3845" t="s">
        <v>30</v>
      </c>
      <c r="C130" s="4210"/>
      <c r="D130" s="3846">
        <f>+D131</f>
        <v>0</v>
      </c>
      <c r="E130" s="3846">
        <f t="shared" ref="E130:X130" si="117">+E131</f>
        <v>0</v>
      </c>
      <c r="F130" s="3846">
        <f t="shared" si="117"/>
        <v>0</v>
      </c>
      <c r="G130" s="3846">
        <f t="shared" si="117"/>
        <v>0</v>
      </c>
      <c r="H130" s="3846">
        <f t="shared" si="117"/>
        <v>0</v>
      </c>
      <c r="I130" s="3846">
        <f t="shared" si="117"/>
        <v>0</v>
      </c>
      <c r="J130" s="3846">
        <f t="shared" si="117"/>
        <v>0</v>
      </c>
      <c r="K130" s="3846">
        <f t="shared" si="117"/>
        <v>0</v>
      </c>
      <c r="L130" s="3846">
        <f t="shared" si="117"/>
        <v>0</v>
      </c>
      <c r="M130" s="3846">
        <f t="shared" si="117"/>
        <v>0</v>
      </c>
      <c r="N130" s="3846">
        <f t="shared" si="117"/>
        <v>0</v>
      </c>
      <c r="O130" s="3846">
        <f t="shared" si="117"/>
        <v>0</v>
      </c>
      <c r="P130" s="3846">
        <f t="shared" si="117"/>
        <v>0</v>
      </c>
      <c r="Q130" s="3846"/>
      <c r="R130" s="3846"/>
      <c r="S130" s="3846"/>
      <c r="T130" s="3846"/>
      <c r="U130" s="3846"/>
      <c r="V130" s="3846"/>
      <c r="W130" s="3846"/>
      <c r="X130" s="3861">
        <f t="shared" si="117"/>
        <v>0</v>
      </c>
      <c r="Y130" s="4207"/>
      <c r="Z130" s="3798"/>
    </row>
    <row r="131" spans="1:26" ht="11.25" hidden="1" customHeight="1">
      <c r="A131" s="4205"/>
      <c r="B131" s="3850" t="s">
        <v>33</v>
      </c>
      <c r="C131" s="4210"/>
      <c r="D131" s="3851">
        <f t="shared" ref="D131" si="118">SUM(M131:R131)</f>
        <v>0</v>
      </c>
      <c r="E131" s="3852">
        <f>+F131+G131+H131</f>
        <v>0</v>
      </c>
      <c r="F131" s="3852"/>
      <c r="G131" s="3852"/>
      <c r="H131" s="3852"/>
      <c r="I131" s="3859"/>
      <c r="J131" s="3859"/>
      <c r="K131" s="3852"/>
      <c r="L131" s="3852"/>
      <c r="M131" s="3852">
        <f t="shared" ref="M131" si="119">+L131+K131+J131+I131+E131</f>
        <v>0</v>
      </c>
      <c r="N131" s="3852"/>
      <c r="O131" s="3852"/>
      <c r="P131" s="3852">
        <v>0</v>
      </c>
      <c r="Q131" s="3852"/>
      <c r="R131" s="3852"/>
      <c r="S131" s="3852"/>
      <c r="T131" s="3852"/>
      <c r="U131" s="3852"/>
      <c r="V131" s="3852"/>
      <c r="W131" s="3852"/>
      <c r="X131" s="3853">
        <f>SUM(P131:S131)</f>
        <v>0</v>
      </c>
      <c r="Y131" s="4207"/>
      <c r="Z131" s="3798"/>
    </row>
    <row r="132" spans="1:26" ht="12.75" hidden="1" customHeight="1">
      <c r="A132" s="4205"/>
      <c r="B132" s="3842" t="s">
        <v>34</v>
      </c>
      <c r="C132" s="3817"/>
      <c r="D132" s="3843">
        <f t="shared" ref="D132:L132" si="120">+D133+D135</f>
        <v>0</v>
      </c>
      <c r="E132" s="3843">
        <f t="shared" si="120"/>
        <v>0</v>
      </c>
      <c r="F132" s="3843">
        <f t="shared" si="120"/>
        <v>0</v>
      </c>
      <c r="G132" s="3843">
        <f t="shared" si="120"/>
        <v>0</v>
      </c>
      <c r="H132" s="3843">
        <f t="shared" si="120"/>
        <v>0</v>
      </c>
      <c r="I132" s="3843">
        <f t="shared" si="120"/>
        <v>0</v>
      </c>
      <c r="J132" s="3843">
        <f t="shared" si="120"/>
        <v>0</v>
      </c>
      <c r="K132" s="3843">
        <f t="shared" si="120"/>
        <v>0</v>
      </c>
      <c r="L132" s="3843">
        <f t="shared" si="120"/>
        <v>0</v>
      </c>
      <c r="M132" s="3843">
        <f t="shared" ref="M132" si="121">+M133+M135</f>
        <v>0</v>
      </c>
      <c r="N132" s="3843">
        <f>+N133+N135</f>
        <v>0</v>
      </c>
      <c r="O132" s="3843">
        <f>+O133+O135</f>
        <v>0</v>
      </c>
      <c r="P132" s="3843">
        <f>+P133+P135</f>
        <v>0</v>
      </c>
      <c r="Q132" s="3843"/>
      <c r="R132" s="3843"/>
      <c r="S132" s="3843"/>
      <c r="T132" s="3843"/>
      <c r="U132" s="3843"/>
      <c r="V132" s="3843"/>
      <c r="W132" s="3843"/>
      <c r="X132" s="4214" t="s">
        <v>77</v>
      </c>
      <c r="Y132" s="4208"/>
      <c r="Z132" s="3798"/>
    </row>
    <row r="133" spans="1:26" ht="12" hidden="1" customHeight="1">
      <c r="A133" s="4205"/>
      <c r="B133" s="3858" t="s">
        <v>36</v>
      </c>
      <c r="C133" s="4211" t="s">
        <v>463</v>
      </c>
      <c r="D133" s="3846">
        <f t="shared" ref="D133:P133" si="122">+D134</f>
        <v>0</v>
      </c>
      <c r="E133" s="3846">
        <f t="shared" si="122"/>
        <v>0</v>
      </c>
      <c r="F133" s="3846">
        <f t="shared" si="122"/>
        <v>0</v>
      </c>
      <c r="G133" s="3846">
        <f t="shared" si="122"/>
        <v>0</v>
      </c>
      <c r="H133" s="3846">
        <f t="shared" si="122"/>
        <v>0</v>
      </c>
      <c r="I133" s="3846">
        <f t="shared" si="122"/>
        <v>0</v>
      </c>
      <c r="J133" s="3846">
        <f t="shared" si="122"/>
        <v>0</v>
      </c>
      <c r="K133" s="3846">
        <f t="shared" si="122"/>
        <v>0</v>
      </c>
      <c r="L133" s="3846">
        <f t="shared" si="122"/>
        <v>0</v>
      </c>
      <c r="M133" s="3846">
        <f t="shared" si="122"/>
        <v>0</v>
      </c>
      <c r="N133" s="3846">
        <f t="shared" si="122"/>
        <v>0</v>
      </c>
      <c r="O133" s="3846">
        <f t="shared" si="122"/>
        <v>0</v>
      </c>
      <c r="P133" s="3846">
        <f t="shared" si="122"/>
        <v>0</v>
      </c>
      <c r="Q133" s="3846"/>
      <c r="R133" s="3846"/>
      <c r="S133" s="3846"/>
      <c r="T133" s="3846"/>
      <c r="U133" s="3846"/>
      <c r="V133" s="3846"/>
      <c r="W133" s="3846"/>
      <c r="X133" s="4214"/>
      <c r="Y133" s="4208"/>
      <c r="Z133" s="3798"/>
    </row>
    <row r="134" spans="1:26" ht="12" hidden="1" customHeight="1">
      <c r="A134" s="4205"/>
      <c r="B134" s="3850" t="s">
        <v>25</v>
      </c>
      <c r="C134" s="4210"/>
      <c r="D134" s="3851">
        <f>+E134+I134+J134+K134+L134+N134+O134</f>
        <v>0</v>
      </c>
      <c r="E134" s="3852">
        <f>+F134+G134+H134</f>
        <v>0</v>
      </c>
      <c r="F134" s="3851"/>
      <c r="G134" s="3851"/>
      <c r="H134" s="3851"/>
      <c r="I134" s="3851"/>
      <c r="J134" s="3851"/>
      <c r="K134" s="3851">
        <v>0</v>
      </c>
      <c r="L134" s="3851">
        <v>0</v>
      </c>
      <c r="M134" s="3851">
        <v>0</v>
      </c>
      <c r="N134" s="3851">
        <v>0</v>
      </c>
      <c r="O134" s="3851">
        <v>0</v>
      </c>
      <c r="P134" s="3851">
        <v>0</v>
      </c>
      <c r="Q134" s="3851"/>
      <c r="R134" s="3851"/>
      <c r="S134" s="3851"/>
      <c r="T134" s="3851"/>
      <c r="U134" s="3851"/>
      <c r="V134" s="3851"/>
      <c r="W134" s="3851"/>
      <c r="X134" s="4214"/>
      <c r="Y134" s="4208"/>
      <c r="Z134" s="3798"/>
    </row>
    <row r="135" spans="1:26" ht="12" hidden="1" customHeight="1">
      <c r="A135" s="4205"/>
      <c r="B135" s="3845" t="s">
        <v>30</v>
      </c>
      <c r="C135" s="4212"/>
      <c r="D135" s="3846">
        <f t="shared" ref="D135:P135" si="123">+D136</f>
        <v>0</v>
      </c>
      <c r="E135" s="3846">
        <f t="shared" si="123"/>
        <v>0</v>
      </c>
      <c r="F135" s="3846">
        <f t="shared" si="123"/>
        <v>0</v>
      </c>
      <c r="G135" s="3846">
        <f t="shared" si="123"/>
        <v>0</v>
      </c>
      <c r="H135" s="3846">
        <f t="shared" si="123"/>
        <v>0</v>
      </c>
      <c r="I135" s="3846">
        <f t="shared" si="123"/>
        <v>0</v>
      </c>
      <c r="J135" s="3846">
        <f t="shared" si="123"/>
        <v>0</v>
      </c>
      <c r="K135" s="3846">
        <f t="shared" si="123"/>
        <v>0</v>
      </c>
      <c r="L135" s="3846">
        <f t="shared" si="123"/>
        <v>0</v>
      </c>
      <c r="M135" s="3846">
        <f t="shared" si="123"/>
        <v>0</v>
      </c>
      <c r="N135" s="3846">
        <f t="shared" si="123"/>
        <v>0</v>
      </c>
      <c r="O135" s="3846">
        <f t="shared" si="123"/>
        <v>0</v>
      </c>
      <c r="P135" s="3846">
        <f t="shared" si="123"/>
        <v>0</v>
      </c>
      <c r="Q135" s="3846"/>
      <c r="R135" s="3846"/>
      <c r="S135" s="3846"/>
      <c r="T135" s="3846"/>
      <c r="U135" s="3846"/>
      <c r="V135" s="3846"/>
      <c r="W135" s="3846"/>
      <c r="X135" s="4214"/>
      <c r="Y135" s="4208"/>
      <c r="Z135" s="3798"/>
    </row>
    <row r="136" spans="1:26" ht="12" hidden="1" customHeight="1" thickBot="1">
      <c r="A136" s="4205"/>
      <c r="B136" s="3856" t="s">
        <v>33</v>
      </c>
      <c r="C136" s="4212"/>
      <c r="D136" s="3851">
        <f>SUM(M136:R136)</f>
        <v>0</v>
      </c>
      <c r="E136" s="3852">
        <f>+F136+G136+H136</f>
        <v>0</v>
      </c>
      <c r="F136" s="3852"/>
      <c r="G136" s="3852"/>
      <c r="H136" s="3852"/>
      <c r="I136" s="3852"/>
      <c r="J136" s="3852"/>
      <c r="K136" s="3852">
        <v>0</v>
      </c>
      <c r="L136" s="3852"/>
      <c r="M136" s="3852">
        <f>+L136+K136+J136+I136+E136</f>
        <v>0</v>
      </c>
      <c r="N136" s="3852"/>
      <c r="O136" s="3852">
        <v>0</v>
      </c>
      <c r="P136" s="3852">
        <v>0</v>
      </c>
      <c r="Q136" s="3852"/>
      <c r="R136" s="3852"/>
      <c r="S136" s="3852"/>
      <c r="T136" s="3852"/>
      <c r="U136" s="3852"/>
      <c r="V136" s="3852"/>
      <c r="W136" s="3852"/>
      <c r="X136" s="4214"/>
      <c r="Y136" s="4208"/>
      <c r="Z136" s="3798"/>
    </row>
    <row r="137" spans="1:26" ht="23.25" customHeight="1">
      <c r="A137" s="4205" t="s">
        <v>105</v>
      </c>
      <c r="B137" s="3838" t="s">
        <v>620</v>
      </c>
      <c r="C137" s="3839" t="s">
        <v>131</v>
      </c>
      <c r="D137" s="3829"/>
      <c r="E137" s="3829"/>
      <c r="F137" s="3829"/>
      <c r="G137" s="3829"/>
      <c r="H137" s="3829"/>
      <c r="I137" s="3841"/>
      <c r="J137" s="3841"/>
      <c r="K137" s="3841"/>
      <c r="L137" s="3841"/>
      <c r="M137" s="3841"/>
      <c r="N137" s="3841"/>
      <c r="O137" s="3841"/>
      <c r="P137" s="3841"/>
      <c r="Q137" s="3841"/>
      <c r="R137" s="3841"/>
      <c r="S137" s="3841"/>
      <c r="T137" s="3841"/>
      <c r="U137" s="3841"/>
      <c r="V137" s="3841"/>
      <c r="W137" s="3841"/>
      <c r="X137" s="3819"/>
      <c r="Y137" s="4207" t="s">
        <v>156</v>
      </c>
      <c r="Z137" s="3798"/>
    </row>
    <row r="138" spans="1:26" ht="12" customHeight="1">
      <c r="A138" s="4205"/>
      <c r="B138" s="3842" t="s">
        <v>22</v>
      </c>
      <c r="C138" s="3817"/>
      <c r="D138" s="3857">
        <f t="shared" ref="D138:R138" si="124">+D139+D142</f>
        <v>4954868</v>
      </c>
      <c r="E138" s="3857">
        <f t="shared" si="124"/>
        <v>0</v>
      </c>
      <c r="F138" s="3857">
        <f t="shared" si="124"/>
        <v>0</v>
      </c>
      <c r="G138" s="3857">
        <f t="shared" si="124"/>
        <v>0</v>
      </c>
      <c r="H138" s="3857">
        <f t="shared" si="124"/>
        <v>0</v>
      </c>
      <c r="I138" s="3857">
        <f t="shared" si="124"/>
        <v>0</v>
      </c>
      <c r="J138" s="3857">
        <f t="shared" si="124"/>
        <v>0</v>
      </c>
      <c r="K138" s="3857">
        <f t="shared" si="124"/>
        <v>0</v>
      </c>
      <c r="L138" s="3857">
        <f t="shared" si="124"/>
        <v>0</v>
      </c>
      <c r="M138" s="3857">
        <f t="shared" si="124"/>
        <v>0</v>
      </c>
      <c r="N138" s="3857">
        <f t="shared" si="124"/>
        <v>0</v>
      </c>
      <c r="O138" s="3857">
        <f t="shared" si="124"/>
        <v>448847</v>
      </c>
      <c r="P138" s="3857">
        <f t="shared" si="124"/>
        <v>1718021</v>
      </c>
      <c r="Q138" s="3857">
        <f t="shared" si="124"/>
        <v>1394000</v>
      </c>
      <c r="R138" s="3857">
        <f t="shared" si="124"/>
        <v>1394000</v>
      </c>
      <c r="S138" s="3857"/>
      <c r="T138" s="3857"/>
      <c r="U138" s="3857"/>
      <c r="V138" s="3857"/>
      <c r="W138" s="3857"/>
      <c r="X138" s="3844">
        <f t="shared" ref="X138" si="125">+X139+X142</f>
        <v>4506021</v>
      </c>
      <c r="Y138" s="4207"/>
      <c r="Z138" s="3798"/>
    </row>
    <row r="139" spans="1:26" ht="12" customHeight="1">
      <c r="A139" s="4205"/>
      <c r="B139" s="3858" t="s">
        <v>36</v>
      </c>
      <c r="C139" s="4209" t="s">
        <v>167</v>
      </c>
      <c r="D139" s="3847">
        <f t="shared" ref="D139:R139" si="126">+D140+D141</f>
        <v>778906</v>
      </c>
      <c r="E139" s="3847">
        <f t="shared" si="126"/>
        <v>0</v>
      </c>
      <c r="F139" s="3847">
        <f t="shared" si="126"/>
        <v>0</v>
      </c>
      <c r="G139" s="3847">
        <f t="shared" si="126"/>
        <v>0</v>
      </c>
      <c r="H139" s="3847">
        <f t="shared" si="126"/>
        <v>0</v>
      </c>
      <c r="I139" s="3847">
        <f t="shared" si="126"/>
        <v>0</v>
      </c>
      <c r="J139" s="3847">
        <f t="shared" si="126"/>
        <v>0</v>
      </c>
      <c r="K139" s="3847">
        <f t="shared" si="126"/>
        <v>0</v>
      </c>
      <c r="L139" s="3847">
        <f t="shared" si="126"/>
        <v>0</v>
      </c>
      <c r="M139" s="3847">
        <f t="shared" si="126"/>
        <v>0</v>
      </c>
      <c r="N139" s="3847">
        <f t="shared" si="126"/>
        <v>0</v>
      </c>
      <c r="O139" s="3847">
        <f t="shared" si="126"/>
        <v>70559</v>
      </c>
      <c r="P139" s="3847">
        <f t="shared" si="126"/>
        <v>270073</v>
      </c>
      <c r="Q139" s="3847">
        <f t="shared" si="126"/>
        <v>219137</v>
      </c>
      <c r="R139" s="3847">
        <f t="shared" si="126"/>
        <v>219137</v>
      </c>
      <c r="S139" s="3847"/>
      <c r="T139" s="3847"/>
      <c r="U139" s="3847"/>
      <c r="V139" s="3847"/>
      <c r="W139" s="3847"/>
      <c r="X139" s="3860">
        <f t="shared" ref="X139" si="127">+X140+X141</f>
        <v>708347</v>
      </c>
      <c r="Y139" s="4207"/>
      <c r="Z139" s="3798"/>
    </row>
    <row r="140" spans="1:26" ht="12" customHeight="1">
      <c r="A140" s="4205"/>
      <c r="B140" s="3850" t="s">
        <v>24</v>
      </c>
      <c r="C140" s="4210"/>
      <c r="D140" s="3851">
        <f>M140+O140+P140+Q140+R140+S140+T140+U140+V140+W140</f>
        <v>778906</v>
      </c>
      <c r="E140" s="3852"/>
      <c r="F140" s="3852"/>
      <c r="G140" s="3852"/>
      <c r="H140" s="3859"/>
      <c r="I140" s="3859"/>
      <c r="J140" s="3859"/>
      <c r="K140" s="3852"/>
      <c r="L140" s="3852"/>
      <c r="M140" s="3852">
        <f t="shared" ref="M140" si="128">+L140+K140+J140+I140+E140</f>
        <v>0</v>
      </c>
      <c r="N140" s="3859"/>
      <c r="O140" s="3852">
        <f>257772-123006-64207</f>
        <v>70559</v>
      </c>
      <c r="P140" s="3852">
        <f>219137+50946-10</f>
        <v>270073</v>
      </c>
      <c r="Q140" s="3852">
        <v>219137</v>
      </c>
      <c r="R140" s="3852">
        <v>219137</v>
      </c>
      <c r="S140" s="3852"/>
      <c r="T140" s="3852"/>
      <c r="U140" s="3852"/>
      <c r="V140" s="3852"/>
      <c r="W140" s="3852"/>
      <c r="X140" s="3853">
        <f>SUM(P140:T140)</f>
        <v>708347</v>
      </c>
      <c r="Y140" s="4207"/>
      <c r="Z140" s="3798"/>
    </row>
    <row r="141" spans="1:26" ht="12" hidden="1" customHeight="1">
      <c r="A141" s="4205"/>
      <c r="B141" s="3850" t="s">
        <v>25</v>
      </c>
      <c r="C141" s="4210"/>
      <c r="D141" s="3851"/>
      <c r="E141" s="3852"/>
      <c r="F141" s="3852"/>
      <c r="G141" s="3852"/>
      <c r="H141" s="3859"/>
      <c r="I141" s="3859"/>
      <c r="J141" s="3859"/>
      <c r="K141" s="3852"/>
      <c r="L141" s="3852"/>
      <c r="M141" s="3852"/>
      <c r="N141" s="3852"/>
      <c r="O141" s="3852">
        <v>0</v>
      </c>
      <c r="P141" s="3852">
        <v>0</v>
      </c>
      <c r="Q141" s="3852"/>
      <c r="R141" s="3852"/>
      <c r="S141" s="3852"/>
      <c r="T141" s="3852"/>
      <c r="U141" s="3852"/>
      <c r="V141" s="3852"/>
      <c r="W141" s="3852"/>
      <c r="X141" s="3853">
        <f>SUM(O141:R141)</f>
        <v>0</v>
      </c>
      <c r="Y141" s="4207"/>
      <c r="Z141" s="3798"/>
    </row>
    <row r="142" spans="1:26" ht="12" customHeight="1">
      <c r="A142" s="4205"/>
      <c r="B142" s="3845" t="s">
        <v>30</v>
      </c>
      <c r="C142" s="4210"/>
      <c r="D142" s="3846">
        <f>+D143</f>
        <v>4175962</v>
      </c>
      <c r="E142" s="3846">
        <f t="shared" ref="E142:R142" si="129">+E143</f>
        <v>0</v>
      </c>
      <c r="F142" s="3846">
        <f t="shared" si="129"/>
        <v>0</v>
      </c>
      <c r="G142" s="3846">
        <f t="shared" si="129"/>
        <v>0</v>
      </c>
      <c r="H142" s="3846">
        <f t="shared" si="129"/>
        <v>0</v>
      </c>
      <c r="I142" s="3846">
        <f t="shared" si="129"/>
        <v>0</v>
      </c>
      <c r="J142" s="3846">
        <f t="shared" si="129"/>
        <v>0</v>
      </c>
      <c r="K142" s="3846">
        <f t="shared" si="129"/>
        <v>0</v>
      </c>
      <c r="L142" s="3846">
        <f t="shared" si="129"/>
        <v>0</v>
      </c>
      <c r="M142" s="3846">
        <f t="shared" si="129"/>
        <v>0</v>
      </c>
      <c r="N142" s="3846">
        <f t="shared" si="129"/>
        <v>0</v>
      </c>
      <c r="O142" s="3846">
        <f t="shared" si="129"/>
        <v>378288</v>
      </c>
      <c r="P142" s="3846">
        <f t="shared" si="129"/>
        <v>1447948</v>
      </c>
      <c r="Q142" s="3846">
        <f t="shared" si="129"/>
        <v>1174863</v>
      </c>
      <c r="R142" s="3846">
        <f t="shared" si="129"/>
        <v>1174863</v>
      </c>
      <c r="S142" s="3846"/>
      <c r="T142" s="3846"/>
      <c r="U142" s="3846"/>
      <c r="V142" s="3846"/>
      <c r="W142" s="3846"/>
      <c r="X142" s="3861">
        <f t="shared" ref="X142" si="130">+X143</f>
        <v>3797674</v>
      </c>
      <c r="Y142" s="4207"/>
      <c r="Z142" s="3798"/>
    </row>
    <row r="143" spans="1:26" ht="11.25" customHeight="1">
      <c r="A143" s="4205"/>
      <c r="B143" s="3850" t="s">
        <v>33</v>
      </c>
      <c r="C143" s="4210"/>
      <c r="D143" s="3851">
        <f>M143+O143+P143+Q143+R143+S143+T143+U143+V143+W143</f>
        <v>4175962</v>
      </c>
      <c r="E143" s="3852"/>
      <c r="F143" s="3852"/>
      <c r="G143" s="3852"/>
      <c r="H143" s="3859"/>
      <c r="I143" s="3859"/>
      <c r="J143" s="3859"/>
      <c r="K143" s="3852"/>
      <c r="L143" s="3852"/>
      <c r="M143" s="3852">
        <f t="shared" ref="M143" si="131">+L143+K143+J143+I143+E143</f>
        <v>0</v>
      </c>
      <c r="N143" s="3852"/>
      <c r="O143" s="3852">
        <f>1382000-659477-344235</f>
        <v>378288</v>
      </c>
      <c r="P143" s="3852">
        <f>1174863+273137-52</f>
        <v>1447948</v>
      </c>
      <c r="Q143" s="3852">
        <v>1174863</v>
      </c>
      <c r="R143" s="3852">
        <v>1174863</v>
      </c>
      <c r="S143" s="3852"/>
      <c r="T143" s="3852"/>
      <c r="U143" s="3852"/>
      <c r="V143" s="3852"/>
      <c r="W143" s="3852"/>
      <c r="X143" s="3853">
        <f>SUM(P143:T143)</f>
        <v>3797674</v>
      </c>
      <c r="Y143" s="4207"/>
      <c r="Z143" s="3798"/>
    </row>
    <row r="144" spans="1:26" ht="12" customHeight="1">
      <c r="A144" s="4205"/>
      <c r="B144" s="3842" t="s">
        <v>34</v>
      </c>
      <c r="C144" s="3817"/>
      <c r="D144" s="3843">
        <f t="shared" ref="D144:M144" si="132">+D145+D147</f>
        <v>4175962</v>
      </c>
      <c r="E144" s="3843">
        <f t="shared" si="132"/>
        <v>0</v>
      </c>
      <c r="F144" s="3843">
        <f t="shared" si="132"/>
        <v>0</v>
      </c>
      <c r="G144" s="3843">
        <f t="shared" si="132"/>
        <v>0</v>
      </c>
      <c r="H144" s="3843">
        <f t="shared" si="132"/>
        <v>0</v>
      </c>
      <c r="I144" s="3843">
        <f t="shared" si="132"/>
        <v>0</v>
      </c>
      <c r="J144" s="3843">
        <f t="shared" si="132"/>
        <v>0</v>
      </c>
      <c r="K144" s="3843">
        <f t="shared" si="132"/>
        <v>0</v>
      </c>
      <c r="L144" s="3843">
        <f t="shared" si="132"/>
        <v>0</v>
      </c>
      <c r="M144" s="3843">
        <f t="shared" si="132"/>
        <v>0</v>
      </c>
      <c r="N144" s="3843">
        <f>+N145+N147</f>
        <v>0</v>
      </c>
      <c r="O144" s="3843">
        <f>+O145+O147</f>
        <v>378288</v>
      </c>
      <c r="P144" s="3843">
        <f>+P145+P147</f>
        <v>1447948</v>
      </c>
      <c r="Q144" s="3843">
        <f>+Q145+Q147</f>
        <v>1174863</v>
      </c>
      <c r="R144" s="3843">
        <f>+R145+R147</f>
        <v>1174863</v>
      </c>
      <c r="S144" s="3843">
        <f t="shared" ref="S144:T144" si="133">+S145+S147</f>
        <v>0</v>
      </c>
      <c r="T144" s="3843">
        <f t="shared" si="133"/>
        <v>0</v>
      </c>
      <c r="U144" s="3843"/>
      <c r="V144" s="3843"/>
      <c r="W144" s="3843"/>
      <c r="X144" s="4214" t="s">
        <v>77</v>
      </c>
      <c r="Y144" s="4208"/>
      <c r="Z144" s="3798"/>
    </row>
    <row r="145" spans="1:26" ht="12" hidden="1" customHeight="1">
      <c r="A145" s="4205"/>
      <c r="B145" s="3858" t="s">
        <v>36</v>
      </c>
      <c r="C145" s="4211" t="s">
        <v>167</v>
      </c>
      <c r="D145" s="3846">
        <f t="shared" ref="D145:R145" si="134">+D146</f>
        <v>0</v>
      </c>
      <c r="E145" s="3846">
        <f t="shared" si="134"/>
        <v>0</v>
      </c>
      <c r="F145" s="3846">
        <f t="shared" si="134"/>
        <v>0</v>
      </c>
      <c r="G145" s="3846">
        <f t="shared" si="134"/>
        <v>0</v>
      </c>
      <c r="H145" s="3846">
        <f t="shared" si="134"/>
        <v>0</v>
      </c>
      <c r="I145" s="3846">
        <f t="shared" si="134"/>
        <v>0</v>
      </c>
      <c r="J145" s="3846">
        <f t="shared" si="134"/>
        <v>0</v>
      </c>
      <c r="K145" s="3846">
        <f t="shared" si="134"/>
        <v>0</v>
      </c>
      <c r="L145" s="3846">
        <f t="shared" si="134"/>
        <v>0</v>
      </c>
      <c r="M145" s="3846">
        <f t="shared" si="134"/>
        <v>0</v>
      </c>
      <c r="N145" s="3846">
        <f t="shared" si="134"/>
        <v>0</v>
      </c>
      <c r="O145" s="3846">
        <f t="shared" si="134"/>
        <v>0</v>
      </c>
      <c r="P145" s="3846">
        <f t="shared" si="134"/>
        <v>0</v>
      </c>
      <c r="Q145" s="3846">
        <f t="shared" si="134"/>
        <v>0</v>
      </c>
      <c r="R145" s="3846">
        <f t="shared" si="134"/>
        <v>0</v>
      </c>
      <c r="S145" s="3846">
        <f t="shared" ref="S145:T145" si="135">+S146</f>
        <v>0</v>
      </c>
      <c r="T145" s="3846">
        <f t="shared" si="135"/>
        <v>0</v>
      </c>
      <c r="U145" s="3846"/>
      <c r="V145" s="3846"/>
      <c r="W145" s="3846"/>
      <c r="X145" s="4214"/>
      <c r="Y145" s="4208"/>
      <c r="Z145" s="3798"/>
    </row>
    <row r="146" spans="1:26" ht="12" hidden="1" customHeight="1">
      <c r="A146" s="4205"/>
      <c r="B146" s="3850" t="s">
        <v>25</v>
      </c>
      <c r="C146" s="4210"/>
      <c r="D146" s="3851"/>
      <c r="E146" s="3852"/>
      <c r="F146" s="3851"/>
      <c r="G146" s="3851"/>
      <c r="H146" s="3851"/>
      <c r="I146" s="3851"/>
      <c r="J146" s="3851"/>
      <c r="K146" s="3851"/>
      <c r="L146" s="3851">
        <v>0</v>
      </c>
      <c r="M146" s="3851">
        <v>0</v>
      </c>
      <c r="N146" s="3851">
        <v>0</v>
      </c>
      <c r="O146" s="3851">
        <v>0</v>
      </c>
      <c r="P146" s="3851">
        <v>0</v>
      </c>
      <c r="Q146" s="3851"/>
      <c r="R146" s="3851"/>
      <c r="S146" s="3851">
        <v>0</v>
      </c>
      <c r="T146" s="3851">
        <v>0</v>
      </c>
      <c r="U146" s="3851"/>
      <c r="V146" s="3851"/>
      <c r="W146" s="3851"/>
      <c r="X146" s="4214"/>
      <c r="Y146" s="4208"/>
      <c r="Z146" s="3798"/>
    </row>
    <row r="147" spans="1:26" ht="12" customHeight="1">
      <c r="A147" s="4205"/>
      <c r="B147" s="3845" t="s">
        <v>30</v>
      </c>
      <c r="C147" s="4212"/>
      <c r="D147" s="3846">
        <f t="shared" ref="D147:R147" si="136">+D148</f>
        <v>4175962</v>
      </c>
      <c r="E147" s="3846">
        <f t="shared" si="136"/>
        <v>0</v>
      </c>
      <c r="F147" s="3846">
        <f t="shared" si="136"/>
        <v>0</v>
      </c>
      <c r="G147" s="3846">
        <f t="shared" si="136"/>
        <v>0</v>
      </c>
      <c r="H147" s="3846">
        <f t="shared" si="136"/>
        <v>0</v>
      </c>
      <c r="I147" s="3846">
        <f t="shared" si="136"/>
        <v>0</v>
      </c>
      <c r="J147" s="3846">
        <f t="shared" si="136"/>
        <v>0</v>
      </c>
      <c r="K147" s="3846">
        <f t="shared" si="136"/>
        <v>0</v>
      </c>
      <c r="L147" s="3846">
        <f t="shared" si="136"/>
        <v>0</v>
      </c>
      <c r="M147" s="3846">
        <f t="shared" si="136"/>
        <v>0</v>
      </c>
      <c r="N147" s="3846">
        <f t="shared" si="136"/>
        <v>0</v>
      </c>
      <c r="O147" s="3846">
        <f t="shared" si="136"/>
        <v>378288</v>
      </c>
      <c r="P147" s="3846">
        <f t="shared" si="136"/>
        <v>1447948</v>
      </c>
      <c r="Q147" s="3846">
        <f t="shared" si="136"/>
        <v>1174863</v>
      </c>
      <c r="R147" s="3846">
        <f t="shared" si="136"/>
        <v>1174863</v>
      </c>
      <c r="S147" s="3846">
        <f t="shared" ref="S147:T147" si="137">+S148</f>
        <v>0</v>
      </c>
      <c r="T147" s="3846">
        <f t="shared" si="137"/>
        <v>0</v>
      </c>
      <c r="U147" s="3846"/>
      <c r="V147" s="3846"/>
      <c r="W147" s="3846"/>
      <c r="X147" s="4214"/>
      <c r="Y147" s="4208"/>
      <c r="Z147" s="3798"/>
    </row>
    <row r="148" spans="1:26" ht="12" customHeight="1">
      <c r="A148" s="4205"/>
      <c r="B148" s="3872" t="s">
        <v>33</v>
      </c>
      <c r="C148" s="4212"/>
      <c r="D148" s="3851">
        <f>M148+O148+P148+Q148+R148+S148+T148+U148+V148+W148</f>
        <v>4175962</v>
      </c>
      <c r="E148" s="3852">
        <v>0</v>
      </c>
      <c r="F148" s="3852"/>
      <c r="G148" s="3852"/>
      <c r="H148" s="3852"/>
      <c r="I148" s="3852">
        <v>0</v>
      </c>
      <c r="J148" s="3852">
        <v>0</v>
      </c>
      <c r="K148" s="3852">
        <v>0</v>
      </c>
      <c r="L148" s="3852">
        <v>0</v>
      </c>
      <c r="M148" s="3852">
        <f>+L148+K148+J148+I148+E148</f>
        <v>0</v>
      </c>
      <c r="N148" s="3852">
        <v>0</v>
      </c>
      <c r="O148" s="3852">
        <f>1382000-659477-344235</f>
        <v>378288</v>
      </c>
      <c r="P148" s="3852">
        <f>1174863+273137-52</f>
        <v>1447948</v>
      </c>
      <c r="Q148" s="3852">
        <v>1174863</v>
      </c>
      <c r="R148" s="3852">
        <v>1174863</v>
      </c>
      <c r="S148" s="3852">
        <v>0</v>
      </c>
      <c r="T148" s="3852">
        <v>0</v>
      </c>
      <c r="U148" s="3852"/>
      <c r="V148" s="3852"/>
      <c r="W148" s="3852"/>
      <c r="X148" s="4214"/>
      <c r="Y148" s="4208"/>
      <c r="Z148" s="3798"/>
    </row>
    <row r="149" spans="1:26" ht="24.75" customHeight="1">
      <c r="A149" s="4222" t="s">
        <v>106</v>
      </c>
      <c r="B149" s="3838" t="s">
        <v>621</v>
      </c>
      <c r="C149" s="3839" t="s">
        <v>98</v>
      </c>
      <c r="D149" s="3829"/>
      <c r="E149" s="3829"/>
      <c r="F149" s="3829"/>
      <c r="G149" s="3829"/>
      <c r="H149" s="3829"/>
      <c r="I149" s="3841"/>
      <c r="J149" s="3841"/>
      <c r="K149" s="3841"/>
      <c r="L149" s="3841"/>
      <c r="M149" s="3841"/>
      <c r="N149" s="3841"/>
      <c r="O149" s="3841"/>
      <c r="P149" s="3841"/>
      <c r="Q149" s="3841"/>
      <c r="R149" s="3841"/>
      <c r="S149" s="3841"/>
      <c r="T149" s="3841"/>
      <c r="U149" s="3841"/>
      <c r="V149" s="3841"/>
      <c r="W149" s="3841"/>
      <c r="X149" s="3819"/>
      <c r="Y149" s="4207" t="s">
        <v>156</v>
      </c>
      <c r="Z149" s="3798"/>
    </row>
    <row r="150" spans="1:26" ht="12" customHeight="1">
      <c r="A150" s="4222"/>
      <c r="B150" s="3842" t="s">
        <v>22</v>
      </c>
      <c r="C150" s="3817"/>
      <c r="D150" s="3857">
        <f t="shared" ref="D150:R150" si="138">+D151+D154</f>
        <v>20171</v>
      </c>
      <c r="E150" s="3857">
        <f t="shared" si="138"/>
        <v>0</v>
      </c>
      <c r="F150" s="3857">
        <f t="shared" si="138"/>
        <v>0</v>
      </c>
      <c r="G150" s="3857">
        <f t="shared" si="138"/>
        <v>0</v>
      </c>
      <c r="H150" s="3857">
        <f t="shared" si="138"/>
        <v>0</v>
      </c>
      <c r="I150" s="3857">
        <f t="shared" si="138"/>
        <v>0</v>
      </c>
      <c r="J150" s="3857">
        <f t="shared" si="138"/>
        <v>0</v>
      </c>
      <c r="K150" s="3857">
        <f t="shared" si="138"/>
        <v>0</v>
      </c>
      <c r="L150" s="3857">
        <f t="shared" si="138"/>
        <v>0</v>
      </c>
      <c r="M150" s="3857">
        <f t="shared" si="138"/>
        <v>0</v>
      </c>
      <c r="N150" s="3857">
        <f t="shared" si="138"/>
        <v>0</v>
      </c>
      <c r="O150" s="3857">
        <f t="shared" si="138"/>
        <v>0</v>
      </c>
      <c r="P150" s="3857">
        <f t="shared" si="138"/>
        <v>20171</v>
      </c>
      <c r="Q150" s="3857">
        <f t="shared" si="138"/>
        <v>0</v>
      </c>
      <c r="R150" s="3857">
        <f t="shared" si="138"/>
        <v>0</v>
      </c>
      <c r="S150" s="3857"/>
      <c r="T150" s="3857"/>
      <c r="U150" s="3857"/>
      <c r="V150" s="3857"/>
      <c r="W150" s="3857"/>
      <c r="X150" s="3844">
        <f t="shared" ref="X150" si="139">+X151+X154</f>
        <v>20171</v>
      </c>
      <c r="Y150" s="4207"/>
      <c r="Z150" s="3798"/>
    </row>
    <row r="151" spans="1:26" ht="12" customHeight="1">
      <c r="A151" s="4222"/>
      <c r="B151" s="3858" t="s">
        <v>36</v>
      </c>
      <c r="C151" s="4209" t="s">
        <v>167</v>
      </c>
      <c r="D151" s="3847">
        <f t="shared" ref="D151:R151" si="140">+D152+D153</f>
        <v>3171</v>
      </c>
      <c r="E151" s="3847">
        <f t="shared" si="140"/>
        <v>0</v>
      </c>
      <c r="F151" s="3847">
        <f t="shared" si="140"/>
        <v>0</v>
      </c>
      <c r="G151" s="3847">
        <f t="shared" si="140"/>
        <v>0</v>
      </c>
      <c r="H151" s="3847">
        <f t="shared" si="140"/>
        <v>0</v>
      </c>
      <c r="I151" s="3847">
        <f t="shared" si="140"/>
        <v>0</v>
      </c>
      <c r="J151" s="3847">
        <f t="shared" si="140"/>
        <v>0</v>
      </c>
      <c r="K151" s="3847">
        <f t="shared" si="140"/>
        <v>0</v>
      </c>
      <c r="L151" s="3847">
        <f t="shared" si="140"/>
        <v>0</v>
      </c>
      <c r="M151" s="3847">
        <f t="shared" si="140"/>
        <v>0</v>
      </c>
      <c r="N151" s="3847">
        <f t="shared" si="140"/>
        <v>0</v>
      </c>
      <c r="O151" s="3847">
        <f t="shared" si="140"/>
        <v>0</v>
      </c>
      <c r="P151" s="3847">
        <f t="shared" si="140"/>
        <v>3171</v>
      </c>
      <c r="Q151" s="3847">
        <f t="shared" si="140"/>
        <v>0</v>
      </c>
      <c r="R151" s="3847">
        <f t="shared" si="140"/>
        <v>0</v>
      </c>
      <c r="S151" s="3847"/>
      <c r="T151" s="3847"/>
      <c r="U151" s="3847"/>
      <c r="V151" s="3847"/>
      <c r="W151" s="3847"/>
      <c r="X151" s="3860">
        <f t="shared" ref="X151" si="141">+X152+X153</f>
        <v>3171</v>
      </c>
      <c r="Y151" s="4207"/>
      <c r="Z151" s="3798"/>
    </row>
    <row r="152" spans="1:26" ht="12" customHeight="1">
      <c r="A152" s="4222"/>
      <c r="B152" s="3850" t="s">
        <v>24</v>
      </c>
      <c r="C152" s="4210"/>
      <c r="D152" s="3851">
        <f>M152+O152+P152+Q152+R152+S152+T152+U152+V152+W152</f>
        <v>3171</v>
      </c>
      <c r="E152" s="3852"/>
      <c r="F152" s="3852"/>
      <c r="G152" s="3852"/>
      <c r="H152" s="3859"/>
      <c r="I152" s="3859"/>
      <c r="J152" s="3859"/>
      <c r="K152" s="3852"/>
      <c r="L152" s="3852"/>
      <c r="M152" s="3852">
        <f t="shared" ref="M152" si="142">+L152+K152+J152+I152+E152</f>
        <v>0</v>
      </c>
      <c r="N152" s="3859"/>
      <c r="O152" s="3852"/>
      <c r="P152" s="3852">
        <v>3171</v>
      </c>
      <c r="Q152" s="3852"/>
      <c r="R152" s="3852"/>
      <c r="S152" s="3852"/>
      <c r="T152" s="3852"/>
      <c r="U152" s="3852"/>
      <c r="V152" s="3852"/>
      <c r="W152" s="3852"/>
      <c r="X152" s="3853">
        <f>SUM(P152:T152)</f>
        <v>3171</v>
      </c>
      <c r="Y152" s="4207"/>
      <c r="Z152" s="3798"/>
    </row>
    <row r="153" spans="1:26" ht="12" hidden="1" customHeight="1">
      <c r="A153" s="4222"/>
      <c r="B153" s="3850" t="s">
        <v>25</v>
      </c>
      <c r="C153" s="4210"/>
      <c r="D153" s="3851"/>
      <c r="E153" s="3852"/>
      <c r="F153" s="3852"/>
      <c r="G153" s="3852"/>
      <c r="H153" s="3859"/>
      <c r="I153" s="3859"/>
      <c r="J153" s="3859"/>
      <c r="K153" s="3852"/>
      <c r="L153" s="3852"/>
      <c r="M153" s="3852"/>
      <c r="N153" s="3852"/>
      <c r="O153" s="3852">
        <v>0</v>
      </c>
      <c r="P153" s="3852">
        <v>0</v>
      </c>
      <c r="Q153" s="3852"/>
      <c r="R153" s="3852"/>
      <c r="S153" s="3852"/>
      <c r="T153" s="3852"/>
      <c r="U153" s="3852"/>
      <c r="V153" s="3852"/>
      <c r="W153" s="3852"/>
      <c r="X153" s="3853">
        <f>SUM(O153:R153)</f>
        <v>0</v>
      </c>
      <c r="Y153" s="4207"/>
      <c r="Z153" s="3798"/>
    </row>
    <row r="154" spans="1:26" ht="12" customHeight="1">
      <c r="A154" s="4222"/>
      <c r="B154" s="3845" t="s">
        <v>30</v>
      </c>
      <c r="C154" s="4210"/>
      <c r="D154" s="3846">
        <f>+D155</f>
        <v>17000</v>
      </c>
      <c r="E154" s="3846">
        <f t="shared" ref="E154:R154" si="143">+E155</f>
        <v>0</v>
      </c>
      <c r="F154" s="3846">
        <f t="shared" si="143"/>
        <v>0</v>
      </c>
      <c r="G154" s="3846">
        <f t="shared" si="143"/>
        <v>0</v>
      </c>
      <c r="H154" s="3846">
        <f t="shared" si="143"/>
        <v>0</v>
      </c>
      <c r="I154" s="3846">
        <f t="shared" si="143"/>
        <v>0</v>
      </c>
      <c r="J154" s="3846">
        <f t="shared" si="143"/>
        <v>0</v>
      </c>
      <c r="K154" s="3846">
        <f t="shared" si="143"/>
        <v>0</v>
      </c>
      <c r="L154" s="3846">
        <f t="shared" si="143"/>
        <v>0</v>
      </c>
      <c r="M154" s="3846">
        <f t="shared" si="143"/>
        <v>0</v>
      </c>
      <c r="N154" s="3846">
        <f t="shared" si="143"/>
        <v>0</v>
      </c>
      <c r="O154" s="3846">
        <f t="shared" si="143"/>
        <v>0</v>
      </c>
      <c r="P154" s="3846">
        <f t="shared" si="143"/>
        <v>17000</v>
      </c>
      <c r="Q154" s="3846">
        <f t="shared" si="143"/>
        <v>0</v>
      </c>
      <c r="R154" s="3846">
        <f t="shared" si="143"/>
        <v>0</v>
      </c>
      <c r="S154" s="3846"/>
      <c r="T154" s="3846"/>
      <c r="U154" s="3846"/>
      <c r="V154" s="3846"/>
      <c r="W154" s="3846"/>
      <c r="X154" s="3861">
        <f t="shared" ref="X154" si="144">+X155</f>
        <v>17000</v>
      </c>
      <c r="Y154" s="4207"/>
      <c r="Z154" s="3798"/>
    </row>
    <row r="155" spans="1:26" ht="12" customHeight="1">
      <c r="A155" s="4222"/>
      <c r="B155" s="3850" t="s">
        <v>33</v>
      </c>
      <c r="C155" s="4210"/>
      <c r="D155" s="3851">
        <f>M155+O155+P155+Q155+R155+S155+T155+U155+V155+W155</f>
        <v>17000</v>
      </c>
      <c r="E155" s="3852"/>
      <c r="F155" s="3852"/>
      <c r="G155" s="3852"/>
      <c r="H155" s="3859"/>
      <c r="I155" s="3859"/>
      <c r="J155" s="3859"/>
      <c r="K155" s="3852"/>
      <c r="L155" s="3852"/>
      <c r="M155" s="3852">
        <f t="shared" ref="M155" si="145">+L155+K155+J155+I155+E155</f>
        <v>0</v>
      </c>
      <c r="N155" s="3852"/>
      <c r="O155" s="3852"/>
      <c r="P155" s="3852">
        <v>17000</v>
      </c>
      <c r="Q155" s="3852"/>
      <c r="R155" s="3852"/>
      <c r="S155" s="3852"/>
      <c r="T155" s="3852"/>
      <c r="U155" s="3852"/>
      <c r="V155" s="3852"/>
      <c r="W155" s="3852"/>
      <c r="X155" s="3853">
        <f>SUM(P155:T155)</f>
        <v>17000</v>
      </c>
      <c r="Y155" s="4207"/>
      <c r="Z155" s="3798"/>
    </row>
    <row r="156" spans="1:26" ht="12" customHeight="1">
      <c r="A156" s="4222"/>
      <c r="B156" s="3842" t="s">
        <v>34</v>
      </c>
      <c r="C156" s="3817"/>
      <c r="D156" s="3843">
        <f t="shared" ref="D156:M156" si="146">+D157+D159</f>
        <v>17000</v>
      </c>
      <c r="E156" s="3843">
        <f t="shared" si="146"/>
        <v>0</v>
      </c>
      <c r="F156" s="3843">
        <f t="shared" si="146"/>
        <v>0</v>
      </c>
      <c r="G156" s="3843">
        <f t="shared" si="146"/>
        <v>0</v>
      </c>
      <c r="H156" s="3843">
        <f t="shared" si="146"/>
        <v>0</v>
      </c>
      <c r="I156" s="3843">
        <f t="shared" si="146"/>
        <v>0</v>
      </c>
      <c r="J156" s="3843">
        <f t="shared" si="146"/>
        <v>0</v>
      </c>
      <c r="K156" s="3843">
        <f t="shared" si="146"/>
        <v>0</v>
      </c>
      <c r="L156" s="3843">
        <f t="shared" si="146"/>
        <v>0</v>
      </c>
      <c r="M156" s="3843">
        <f t="shared" si="146"/>
        <v>0</v>
      </c>
      <c r="N156" s="3843">
        <f>+N157+N159</f>
        <v>0</v>
      </c>
      <c r="O156" s="3843">
        <f>+O157+O159</f>
        <v>0</v>
      </c>
      <c r="P156" s="3843">
        <f>+P157+P159</f>
        <v>17000</v>
      </c>
      <c r="Q156" s="3843">
        <f>+Q157+Q159</f>
        <v>0</v>
      </c>
      <c r="R156" s="3843">
        <f>+R157+R159</f>
        <v>0</v>
      </c>
      <c r="S156" s="3843">
        <f t="shared" ref="S156:T156" si="147">+S157+S159</f>
        <v>0</v>
      </c>
      <c r="T156" s="3843">
        <f t="shared" si="147"/>
        <v>0</v>
      </c>
      <c r="U156" s="3843"/>
      <c r="V156" s="3843"/>
      <c r="W156" s="3843"/>
      <c r="X156" s="4214" t="s">
        <v>77</v>
      </c>
      <c r="Y156" s="4208"/>
      <c r="Z156" s="3798"/>
    </row>
    <row r="157" spans="1:26" ht="12" hidden="1" customHeight="1">
      <c r="A157" s="4222"/>
      <c r="B157" s="3858" t="s">
        <v>36</v>
      </c>
      <c r="C157" s="4211" t="s">
        <v>167</v>
      </c>
      <c r="D157" s="3846">
        <f t="shared" ref="D157:R157" si="148">+D158</f>
        <v>0</v>
      </c>
      <c r="E157" s="3846">
        <f t="shared" si="148"/>
        <v>0</v>
      </c>
      <c r="F157" s="3846">
        <f t="shared" si="148"/>
        <v>0</v>
      </c>
      <c r="G157" s="3846">
        <f t="shared" si="148"/>
        <v>0</v>
      </c>
      <c r="H157" s="3846">
        <f t="shared" si="148"/>
        <v>0</v>
      </c>
      <c r="I157" s="3846">
        <f t="shared" si="148"/>
        <v>0</v>
      </c>
      <c r="J157" s="3846">
        <f t="shared" si="148"/>
        <v>0</v>
      </c>
      <c r="K157" s="3846">
        <f t="shared" si="148"/>
        <v>0</v>
      </c>
      <c r="L157" s="3846">
        <f t="shared" si="148"/>
        <v>0</v>
      </c>
      <c r="M157" s="3846">
        <f t="shared" si="148"/>
        <v>0</v>
      </c>
      <c r="N157" s="3846">
        <f t="shared" si="148"/>
        <v>0</v>
      </c>
      <c r="O157" s="3846">
        <f t="shared" si="148"/>
        <v>0</v>
      </c>
      <c r="P157" s="3846">
        <f t="shared" si="148"/>
        <v>0</v>
      </c>
      <c r="Q157" s="3846">
        <f t="shared" si="148"/>
        <v>0</v>
      </c>
      <c r="R157" s="3846">
        <f t="shared" si="148"/>
        <v>0</v>
      </c>
      <c r="S157" s="3846">
        <f t="shared" ref="S157:T157" si="149">+S158</f>
        <v>0</v>
      </c>
      <c r="T157" s="3846">
        <f t="shared" si="149"/>
        <v>0</v>
      </c>
      <c r="U157" s="3846"/>
      <c r="V157" s="3846"/>
      <c r="W157" s="3846"/>
      <c r="X157" s="4214"/>
      <c r="Y157" s="4208"/>
      <c r="Z157" s="3798"/>
    </row>
    <row r="158" spans="1:26" ht="12" hidden="1" customHeight="1">
      <c r="A158" s="4222"/>
      <c r="B158" s="3850" t="s">
        <v>25</v>
      </c>
      <c r="C158" s="4210"/>
      <c r="D158" s="3851"/>
      <c r="E158" s="3852"/>
      <c r="F158" s="3851"/>
      <c r="G158" s="3851"/>
      <c r="H158" s="3851"/>
      <c r="I158" s="3851"/>
      <c r="J158" s="3851"/>
      <c r="K158" s="3851"/>
      <c r="L158" s="3851">
        <v>0</v>
      </c>
      <c r="M158" s="3851">
        <v>0</v>
      </c>
      <c r="N158" s="3851">
        <v>0</v>
      </c>
      <c r="O158" s="3851">
        <v>0</v>
      </c>
      <c r="P158" s="3851">
        <v>0</v>
      </c>
      <c r="Q158" s="3851"/>
      <c r="R158" s="3851"/>
      <c r="S158" s="3851">
        <v>0</v>
      </c>
      <c r="T158" s="3851">
        <v>0</v>
      </c>
      <c r="U158" s="3851"/>
      <c r="V158" s="3851"/>
      <c r="W158" s="3851"/>
      <c r="X158" s="4214"/>
      <c r="Y158" s="4208"/>
      <c r="Z158" s="3798"/>
    </row>
    <row r="159" spans="1:26" ht="12" customHeight="1">
      <c r="A159" s="4222"/>
      <c r="B159" s="3845" t="s">
        <v>30</v>
      </c>
      <c r="C159" s="4212"/>
      <c r="D159" s="3846">
        <f t="shared" ref="D159:R159" si="150">+D160</f>
        <v>17000</v>
      </c>
      <c r="E159" s="3846">
        <f t="shared" si="150"/>
        <v>0</v>
      </c>
      <c r="F159" s="3846">
        <f t="shared" si="150"/>
        <v>0</v>
      </c>
      <c r="G159" s="3846">
        <f t="shared" si="150"/>
        <v>0</v>
      </c>
      <c r="H159" s="3846">
        <f t="shared" si="150"/>
        <v>0</v>
      </c>
      <c r="I159" s="3846">
        <f t="shared" si="150"/>
        <v>0</v>
      </c>
      <c r="J159" s="3846">
        <f t="shared" si="150"/>
        <v>0</v>
      </c>
      <c r="K159" s="3846">
        <f t="shared" si="150"/>
        <v>0</v>
      </c>
      <c r="L159" s="3846">
        <f t="shared" si="150"/>
        <v>0</v>
      </c>
      <c r="M159" s="3846">
        <f t="shared" si="150"/>
        <v>0</v>
      </c>
      <c r="N159" s="3846">
        <f t="shared" si="150"/>
        <v>0</v>
      </c>
      <c r="O159" s="3846">
        <f t="shared" si="150"/>
        <v>0</v>
      </c>
      <c r="P159" s="3846">
        <f t="shared" si="150"/>
        <v>17000</v>
      </c>
      <c r="Q159" s="3846">
        <f t="shared" si="150"/>
        <v>0</v>
      </c>
      <c r="R159" s="3846">
        <f t="shared" si="150"/>
        <v>0</v>
      </c>
      <c r="S159" s="3846">
        <f t="shared" ref="S159:T159" si="151">+S160</f>
        <v>0</v>
      </c>
      <c r="T159" s="3846">
        <f t="shared" si="151"/>
        <v>0</v>
      </c>
      <c r="U159" s="3846"/>
      <c r="V159" s="3846"/>
      <c r="W159" s="3846"/>
      <c r="X159" s="4214"/>
      <c r="Y159" s="4208"/>
      <c r="Z159" s="3798"/>
    </row>
    <row r="160" spans="1:26" ht="12" customHeight="1" thickBot="1">
      <c r="A160" s="4251"/>
      <c r="B160" s="3873" t="s">
        <v>33</v>
      </c>
      <c r="C160" s="4226"/>
      <c r="D160" s="3863">
        <f>M160+O160+P160+Q160+R160+S160+T160+U160+V160+W160</f>
        <v>17000</v>
      </c>
      <c r="E160" s="3864">
        <v>0</v>
      </c>
      <c r="F160" s="3864"/>
      <c r="G160" s="3864"/>
      <c r="H160" s="3864"/>
      <c r="I160" s="3864">
        <v>0</v>
      </c>
      <c r="J160" s="3864">
        <v>0</v>
      </c>
      <c r="K160" s="3864">
        <v>0</v>
      </c>
      <c r="L160" s="3864">
        <v>0</v>
      </c>
      <c r="M160" s="3864">
        <f>+L160+K160+J160+I160+E160</f>
        <v>0</v>
      </c>
      <c r="N160" s="3864">
        <v>0</v>
      </c>
      <c r="O160" s="3864"/>
      <c r="P160" s="3864">
        <v>17000</v>
      </c>
      <c r="Q160" s="3864"/>
      <c r="R160" s="3864"/>
      <c r="S160" s="3864">
        <v>0</v>
      </c>
      <c r="T160" s="3864">
        <v>0</v>
      </c>
      <c r="U160" s="3864"/>
      <c r="V160" s="3864"/>
      <c r="W160" s="3864"/>
      <c r="X160" s="4227"/>
      <c r="Y160" s="4252"/>
      <c r="Z160" s="3798"/>
    </row>
    <row r="161" spans="1:27" ht="36" customHeight="1">
      <c r="A161" s="4216" t="s">
        <v>107</v>
      </c>
      <c r="B161" s="3865" t="s">
        <v>169</v>
      </c>
      <c r="C161" s="3866" t="s">
        <v>131</v>
      </c>
      <c r="D161" s="3867"/>
      <c r="E161" s="3867"/>
      <c r="F161" s="3867"/>
      <c r="G161" s="3867"/>
      <c r="H161" s="3867"/>
      <c r="I161" s="3868"/>
      <c r="J161" s="3868"/>
      <c r="K161" s="3868"/>
      <c r="L161" s="3868"/>
      <c r="M161" s="3868"/>
      <c r="N161" s="3868"/>
      <c r="O161" s="3868"/>
      <c r="P161" s="3868"/>
      <c r="Q161" s="3868"/>
      <c r="R161" s="3868"/>
      <c r="S161" s="3868"/>
      <c r="T161" s="3868"/>
      <c r="U161" s="3868"/>
      <c r="V161" s="3868"/>
      <c r="W161" s="3868"/>
      <c r="X161" s="3869"/>
      <c r="Y161" s="4217" t="s">
        <v>170</v>
      </c>
      <c r="Z161" s="3798"/>
    </row>
    <row r="162" spans="1:27" ht="10.5" customHeight="1">
      <c r="A162" s="4205"/>
      <c r="B162" s="3842" t="s">
        <v>22</v>
      </c>
      <c r="C162" s="3817"/>
      <c r="D162" s="3857">
        <f t="shared" ref="D162:O162" si="152">+D163+D166</f>
        <v>1297464</v>
      </c>
      <c r="E162" s="3857">
        <f t="shared" si="152"/>
        <v>0</v>
      </c>
      <c r="F162" s="3857">
        <f t="shared" si="152"/>
        <v>0</v>
      </c>
      <c r="G162" s="3857">
        <f t="shared" si="152"/>
        <v>0</v>
      </c>
      <c r="H162" s="3857">
        <f t="shared" si="152"/>
        <v>0</v>
      </c>
      <c r="I162" s="3857">
        <f t="shared" si="152"/>
        <v>131769</v>
      </c>
      <c r="J162" s="3857">
        <f t="shared" si="152"/>
        <v>176006</v>
      </c>
      <c r="K162" s="3857">
        <f t="shared" si="152"/>
        <v>250351</v>
      </c>
      <c r="L162" s="3857">
        <f t="shared" si="152"/>
        <v>287879</v>
      </c>
      <c r="M162" s="3857">
        <f t="shared" si="152"/>
        <v>1069890</v>
      </c>
      <c r="N162" s="3857">
        <f t="shared" si="152"/>
        <v>223885</v>
      </c>
      <c r="O162" s="3857">
        <f t="shared" si="152"/>
        <v>227574</v>
      </c>
      <c r="P162" s="3857">
        <f t="shared" ref="P162" si="153">+P163+P166</f>
        <v>0</v>
      </c>
      <c r="Q162" s="3857"/>
      <c r="R162" s="3857"/>
      <c r="S162" s="3857"/>
      <c r="T162" s="3857"/>
      <c r="U162" s="3857"/>
      <c r="V162" s="3857"/>
      <c r="W162" s="3857"/>
      <c r="X162" s="3844">
        <f>+X163+X166</f>
        <v>0</v>
      </c>
      <c r="Y162" s="4207"/>
      <c r="Z162" s="3812">
        <f>+O162+P162+Q162+R162</f>
        <v>227574</v>
      </c>
      <c r="AA162" s="2358"/>
    </row>
    <row r="163" spans="1:27" ht="13.5" customHeight="1">
      <c r="A163" s="4205"/>
      <c r="B163" s="3858" t="s">
        <v>36</v>
      </c>
      <c r="C163" s="4209" t="s">
        <v>171</v>
      </c>
      <c r="D163" s="3847">
        <f t="shared" ref="D163:O163" si="154">+D164+D165</f>
        <v>197286</v>
      </c>
      <c r="E163" s="3847">
        <f t="shared" si="154"/>
        <v>0</v>
      </c>
      <c r="F163" s="3847">
        <f t="shared" si="154"/>
        <v>0</v>
      </c>
      <c r="G163" s="3847">
        <f t="shared" si="154"/>
        <v>0</v>
      </c>
      <c r="H163" s="3847">
        <f t="shared" si="154"/>
        <v>0</v>
      </c>
      <c r="I163" s="3847">
        <f t="shared" si="154"/>
        <v>19915</v>
      </c>
      <c r="J163" s="3847">
        <f t="shared" si="154"/>
        <v>28837</v>
      </c>
      <c r="K163" s="3847">
        <f t="shared" si="154"/>
        <v>37633</v>
      </c>
      <c r="L163" s="3847">
        <f t="shared" si="154"/>
        <v>43182</v>
      </c>
      <c r="M163" s="3847">
        <f t="shared" si="154"/>
        <v>163150</v>
      </c>
      <c r="N163" s="3847">
        <f t="shared" si="154"/>
        <v>33583</v>
      </c>
      <c r="O163" s="3847">
        <f t="shared" si="154"/>
        <v>34136</v>
      </c>
      <c r="P163" s="3847">
        <f t="shared" ref="P163" si="155">+P164+P165</f>
        <v>0</v>
      </c>
      <c r="Q163" s="3847"/>
      <c r="R163" s="3847"/>
      <c r="S163" s="3847"/>
      <c r="T163" s="3847"/>
      <c r="U163" s="3847"/>
      <c r="V163" s="3847"/>
      <c r="W163" s="3847"/>
      <c r="X163" s="3860">
        <f>+X164+X165</f>
        <v>0</v>
      </c>
      <c r="Y163" s="4207"/>
      <c r="Z163" s="3798"/>
    </row>
    <row r="164" spans="1:27" ht="13.5" customHeight="1">
      <c r="A164" s="4205"/>
      <c r="B164" s="3850" t="s">
        <v>24</v>
      </c>
      <c r="C164" s="4210"/>
      <c r="D164" s="3859">
        <f>+E164+I164+J164+K164+L164</f>
        <v>3137</v>
      </c>
      <c r="E164" s="3859">
        <f>+F164+G164+H164</f>
        <v>0</v>
      </c>
      <c r="F164" s="3852"/>
      <c r="G164" s="3852"/>
      <c r="H164" s="3859"/>
      <c r="I164" s="3859">
        <v>176</v>
      </c>
      <c r="J164" s="3859">
        <v>2866</v>
      </c>
      <c r="K164" s="3852">
        <v>95</v>
      </c>
      <c r="L164" s="3852"/>
      <c r="M164" s="3852">
        <f>+L164+K164+J164+I164+E164+N164</f>
        <v>3137</v>
      </c>
      <c r="N164" s="3852"/>
      <c r="O164" s="3852"/>
      <c r="P164" s="3852">
        <v>0</v>
      </c>
      <c r="Q164" s="3852"/>
      <c r="R164" s="3852"/>
      <c r="S164" s="3852"/>
      <c r="T164" s="3852"/>
      <c r="U164" s="3852"/>
      <c r="V164" s="3852"/>
      <c r="W164" s="3852"/>
      <c r="X164" s="3853">
        <f>SUM(P164:T164)</f>
        <v>0</v>
      </c>
      <c r="Y164" s="4207"/>
      <c r="Z164" s="3798"/>
    </row>
    <row r="165" spans="1:27">
      <c r="A165" s="4205"/>
      <c r="B165" s="3850" t="s">
        <v>25</v>
      </c>
      <c r="C165" s="4210"/>
      <c r="D165" s="3851">
        <f>M165+O165+P165+Q165+R165+S165+T165+U165+V165+W165</f>
        <v>194149</v>
      </c>
      <c r="E165" s="3859">
        <f>+F165+G165+H165</f>
        <v>0</v>
      </c>
      <c r="F165" s="3852"/>
      <c r="G165" s="3852">
        <v>0</v>
      </c>
      <c r="H165" s="3859"/>
      <c r="I165" s="3859">
        <f>28650-8911</f>
        <v>19739</v>
      </c>
      <c r="J165" s="3859">
        <v>25971</v>
      </c>
      <c r="K165" s="3852">
        <f>42279+4589-9330</f>
        <v>37538</v>
      </c>
      <c r="L165" s="3852">
        <f>42726+12176-11720</f>
        <v>43182</v>
      </c>
      <c r="M165" s="3852">
        <f>+L165+K165+J165+I165+E165+N165</f>
        <v>160013</v>
      </c>
      <c r="N165" s="3852">
        <f>45513+2789+4500-17439-1780</f>
        <v>33583</v>
      </c>
      <c r="O165" s="3852">
        <f>14686-350+19965-165</f>
        <v>34136</v>
      </c>
      <c r="P165" s="3852">
        <v>0</v>
      </c>
      <c r="Q165" s="3852"/>
      <c r="R165" s="3852"/>
      <c r="S165" s="3852"/>
      <c r="T165" s="3852"/>
      <c r="U165" s="3852"/>
      <c r="V165" s="3852"/>
      <c r="W165" s="3852"/>
      <c r="X165" s="3853">
        <f>SUM(P165:T165)</f>
        <v>0</v>
      </c>
      <c r="Y165" s="4207"/>
      <c r="Z165" s="3798"/>
    </row>
    <row r="166" spans="1:27" ht="12.75" customHeight="1">
      <c r="A166" s="4205"/>
      <c r="B166" s="3845" t="s">
        <v>30</v>
      </c>
      <c r="C166" s="4210"/>
      <c r="D166" s="3846">
        <f>+D167</f>
        <v>1100178</v>
      </c>
      <c r="E166" s="3846">
        <f t="shared" ref="E166:O166" si="156">+E167</f>
        <v>0</v>
      </c>
      <c r="F166" s="3846">
        <f t="shared" si="156"/>
        <v>0</v>
      </c>
      <c r="G166" s="3846">
        <f t="shared" si="156"/>
        <v>0</v>
      </c>
      <c r="H166" s="3846">
        <f t="shared" si="156"/>
        <v>0</v>
      </c>
      <c r="I166" s="3846">
        <f t="shared" si="156"/>
        <v>111854</v>
      </c>
      <c r="J166" s="3846">
        <f t="shared" si="156"/>
        <v>147169</v>
      </c>
      <c r="K166" s="3846">
        <f t="shared" si="156"/>
        <v>212718</v>
      </c>
      <c r="L166" s="3846">
        <f t="shared" si="156"/>
        <v>244697</v>
      </c>
      <c r="M166" s="3846">
        <f t="shared" si="156"/>
        <v>906740</v>
      </c>
      <c r="N166" s="3846">
        <f t="shared" si="156"/>
        <v>190302</v>
      </c>
      <c r="O166" s="3846">
        <f t="shared" si="156"/>
        <v>193438</v>
      </c>
      <c r="P166" s="3846">
        <f t="shared" ref="P166:X166" si="157">+P167</f>
        <v>0</v>
      </c>
      <c r="Q166" s="3846"/>
      <c r="R166" s="3846"/>
      <c r="S166" s="3846"/>
      <c r="T166" s="3846"/>
      <c r="U166" s="3846"/>
      <c r="V166" s="3846"/>
      <c r="W166" s="3846"/>
      <c r="X166" s="3861">
        <f t="shared" si="157"/>
        <v>0</v>
      </c>
      <c r="Y166" s="4207"/>
      <c r="Z166" s="3798"/>
    </row>
    <row r="167" spans="1:27" ht="11.25" customHeight="1">
      <c r="A167" s="4205"/>
      <c r="B167" s="3850" t="s">
        <v>33</v>
      </c>
      <c r="C167" s="4210"/>
      <c r="D167" s="3851">
        <f>M167+O167+P167+Q167+R167+S167+T167+U167+V167+W167</f>
        <v>1100178</v>
      </c>
      <c r="E167" s="3859">
        <f>+F167+G167+H167</f>
        <v>0</v>
      </c>
      <c r="F167" s="3852"/>
      <c r="G167" s="3852"/>
      <c r="H167" s="3859"/>
      <c r="I167" s="3859">
        <f>162350-50496</f>
        <v>111854</v>
      </c>
      <c r="J167" s="3859">
        <v>147169</v>
      </c>
      <c r="K167" s="3852">
        <f>239583+26004-52869</f>
        <v>212718</v>
      </c>
      <c r="L167" s="3852">
        <f>242115+68995-66413</f>
        <v>244697</v>
      </c>
      <c r="M167" s="3852">
        <f>+L167+K167+J167+I167+E167+N167</f>
        <v>906740</v>
      </c>
      <c r="N167" s="3852">
        <f>257905+15809+25500-98822-10090</f>
        <v>190302</v>
      </c>
      <c r="O167" s="3852">
        <f>83218-1984+113137-933</f>
        <v>193438</v>
      </c>
      <c r="P167" s="3852">
        <v>0</v>
      </c>
      <c r="Q167" s="3852">
        <v>0</v>
      </c>
      <c r="R167" s="3852"/>
      <c r="S167" s="3852"/>
      <c r="T167" s="3852"/>
      <c r="U167" s="3852"/>
      <c r="V167" s="3852"/>
      <c r="W167" s="3852"/>
      <c r="X167" s="3853">
        <f>SUM(P167:T167)</f>
        <v>0</v>
      </c>
      <c r="Y167" s="4207"/>
      <c r="Z167" s="3798"/>
    </row>
    <row r="168" spans="1:27" ht="13.5" customHeight="1">
      <c r="A168" s="4205"/>
      <c r="B168" s="3842" t="s">
        <v>34</v>
      </c>
      <c r="C168" s="3817"/>
      <c r="D168" s="3843">
        <f t="shared" ref="D168:M168" si="158">+D169+D171</f>
        <v>1294327</v>
      </c>
      <c r="E168" s="3843">
        <f t="shared" si="158"/>
        <v>0</v>
      </c>
      <c r="F168" s="3843">
        <f t="shared" si="158"/>
        <v>0</v>
      </c>
      <c r="G168" s="3843">
        <f t="shared" si="158"/>
        <v>0</v>
      </c>
      <c r="H168" s="3843">
        <f t="shared" si="158"/>
        <v>0</v>
      </c>
      <c r="I168" s="3843">
        <f t="shared" si="158"/>
        <v>131593</v>
      </c>
      <c r="J168" s="3843">
        <f t="shared" si="158"/>
        <v>173140</v>
      </c>
      <c r="K168" s="3843">
        <f t="shared" si="158"/>
        <v>250256</v>
      </c>
      <c r="L168" s="3843">
        <f t="shared" si="158"/>
        <v>287879</v>
      </c>
      <c r="M168" s="3843">
        <f t="shared" si="158"/>
        <v>1066753</v>
      </c>
      <c r="N168" s="3843">
        <f>+N169+N171</f>
        <v>223885</v>
      </c>
      <c r="O168" s="3843">
        <f>+O169+O171</f>
        <v>227574</v>
      </c>
      <c r="P168" s="3843">
        <f>+P169+P171</f>
        <v>0</v>
      </c>
      <c r="Q168" s="3843">
        <f>+Q169+Q171</f>
        <v>0</v>
      </c>
      <c r="R168" s="3843"/>
      <c r="S168" s="3843"/>
      <c r="T168" s="3843"/>
      <c r="U168" s="3843"/>
      <c r="V168" s="3843"/>
      <c r="W168" s="3843"/>
      <c r="X168" s="4213" t="s">
        <v>77</v>
      </c>
      <c r="Y168" s="4208"/>
      <c r="Z168" s="3798"/>
    </row>
    <row r="169" spans="1:27" ht="13.5" customHeight="1">
      <c r="A169" s="4205"/>
      <c r="B169" s="3858" t="s">
        <v>36</v>
      </c>
      <c r="C169" s="4211" t="s">
        <v>171</v>
      </c>
      <c r="D169" s="3846">
        <f t="shared" ref="D169:O169" si="159">+D170</f>
        <v>194149</v>
      </c>
      <c r="E169" s="3846">
        <f t="shared" si="159"/>
        <v>0</v>
      </c>
      <c r="F169" s="3846">
        <f t="shared" si="159"/>
        <v>0</v>
      </c>
      <c r="G169" s="3846">
        <f t="shared" si="159"/>
        <v>0</v>
      </c>
      <c r="H169" s="3846">
        <f t="shared" si="159"/>
        <v>0</v>
      </c>
      <c r="I169" s="3846">
        <f t="shared" si="159"/>
        <v>19739</v>
      </c>
      <c r="J169" s="3846">
        <f t="shared" si="159"/>
        <v>25971</v>
      </c>
      <c r="K169" s="3846">
        <f t="shared" si="159"/>
        <v>37538</v>
      </c>
      <c r="L169" s="3846">
        <f t="shared" si="159"/>
        <v>43182</v>
      </c>
      <c r="M169" s="3846">
        <f t="shared" si="159"/>
        <v>160013</v>
      </c>
      <c r="N169" s="3846">
        <f t="shared" si="159"/>
        <v>33583</v>
      </c>
      <c r="O169" s="3846">
        <f t="shared" si="159"/>
        <v>34136</v>
      </c>
      <c r="P169" s="3846">
        <f t="shared" ref="P169:Q169" si="160">+P170</f>
        <v>0</v>
      </c>
      <c r="Q169" s="3846">
        <f t="shared" si="160"/>
        <v>0</v>
      </c>
      <c r="R169" s="3846"/>
      <c r="S169" s="3846"/>
      <c r="T169" s="3846"/>
      <c r="U169" s="3846"/>
      <c r="V169" s="3846"/>
      <c r="W169" s="3846"/>
      <c r="X169" s="4213"/>
      <c r="Y169" s="4208"/>
      <c r="Z169" s="3798"/>
    </row>
    <row r="170" spans="1:27" ht="11.25" customHeight="1">
      <c r="A170" s="4205"/>
      <c r="B170" s="3850" t="s">
        <v>25</v>
      </c>
      <c r="C170" s="4210"/>
      <c r="D170" s="3851">
        <f>M170+O170+P170+Q170+R170+S170+T170+U170+V170+W170</f>
        <v>194149</v>
      </c>
      <c r="E170" s="3851">
        <f>+F170+G170+H170</f>
        <v>0</v>
      </c>
      <c r="F170" s="3851"/>
      <c r="G170" s="3851"/>
      <c r="H170" s="3851"/>
      <c r="I170" s="3851">
        <f>28650-8911</f>
        <v>19739</v>
      </c>
      <c r="J170" s="3851">
        <f>25621+350</f>
        <v>25971</v>
      </c>
      <c r="K170" s="3851">
        <f>42279+4589-9330</f>
        <v>37538</v>
      </c>
      <c r="L170" s="3851">
        <f>42726+12176-11720</f>
        <v>43182</v>
      </c>
      <c r="M170" s="3852">
        <f>+L170+K170+J170+I170+E170+N170</f>
        <v>160013</v>
      </c>
      <c r="N170" s="3851">
        <f>45513+2789+4500-17439-1780</f>
        <v>33583</v>
      </c>
      <c r="O170" s="3851">
        <f>14686+19965-350-165</f>
        <v>34136</v>
      </c>
      <c r="P170" s="3851">
        <v>0</v>
      </c>
      <c r="Q170" s="3851">
        <v>0</v>
      </c>
      <c r="R170" s="3851"/>
      <c r="S170" s="3851"/>
      <c r="T170" s="3851"/>
      <c r="U170" s="3851"/>
      <c r="V170" s="3851"/>
      <c r="W170" s="3851"/>
      <c r="X170" s="4213"/>
      <c r="Y170" s="4208"/>
      <c r="Z170" s="3798"/>
    </row>
    <row r="171" spans="1:27" ht="12" customHeight="1">
      <c r="A171" s="4205"/>
      <c r="B171" s="3845" t="s">
        <v>30</v>
      </c>
      <c r="C171" s="4212"/>
      <c r="D171" s="3846">
        <f t="shared" ref="D171:O171" si="161">+D172</f>
        <v>1100178</v>
      </c>
      <c r="E171" s="3846">
        <f t="shared" si="161"/>
        <v>0</v>
      </c>
      <c r="F171" s="3846">
        <f t="shared" si="161"/>
        <v>0</v>
      </c>
      <c r="G171" s="3846">
        <f t="shared" si="161"/>
        <v>0</v>
      </c>
      <c r="H171" s="3846">
        <f t="shared" si="161"/>
        <v>0</v>
      </c>
      <c r="I171" s="3846">
        <f t="shared" si="161"/>
        <v>111854</v>
      </c>
      <c r="J171" s="3846">
        <f t="shared" si="161"/>
        <v>147169</v>
      </c>
      <c r="K171" s="3846">
        <f t="shared" si="161"/>
        <v>212718</v>
      </c>
      <c r="L171" s="3846">
        <f t="shared" si="161"/>
        <v>244697</v>
      </c>
      <c r="M171" s="3846">
        <f t="shared" si="161"/>
        <v>906740</v>
      </c>
      <c r="N171" s="3846">
        <f t="shared" si="161"/>
        <v>190302</v>
      </c>
      <c r="O171" s="3846">
        <f t="shared" si="161"/>
        <v>193438</v>
      </c>
      <c r="P171" s="3846">
        <f t="shared" ref="P171:Q171" si="162">+P172</f>
        <v>0</v>
      </c>
      <c r="Q171" s="3846">
        <f t="shared" si="162"/>
        <v>0</v>
      </c>
      <c r="R171" s="3846"/>
      <c r="S171" s="3846"/>
      <c r="T171" s="3846"/>
      <c r="U171" s="3846"/>
      <c r="V171" s="3846"/>
      <c r="W171" s="3846"/>
      <c r="X171" s="4213"/>
      <c r="Y171" s="4208"/>
      <c r="Z171" s="3798"/>
    </row>
    <row r="172" spans="1:27" ht="12.75" customHeight="1">
      <c r="A172" s="4205"/>
      <c r="B172" s="3850" t="s">
        <v>33</v>
      </c>
      <c r="C172" s="4212"/>
      <c r="D172" s="3851">
        <f>M172+O172+P172+Q172+R172+S172+T172+U172+V172+W172</f>
        <v>1100178</v>
      </c>
      <c r="E172" s="3852">
        <f>+F172+G172+H172</f>
        <v>0</v>
      </c>
      <c r="F172" s="3852"/>
      <c r="G172" s="3852"/>
      <c r="H172" s="3852"/>
      <c r="I172" s="3852">
        <f>162350-50496</f>
        <v>111854</v>
      </c>
      <c r="J172" s="3852">
        <f>145185+1984</f>
        <v>147169</v>
      </c>
      <c r="K172" s="3852">
        <f>239583+26004-52869</f>
        <v>212718</v>
      </c>
      <c r="L172" s="3852">
        <f>242115+68995-66413</f>
        <v>244697</v>
      </c>
      <c r="M172" s="3852">
        <f>+L172+K172+J172+I172+E172+N172</f>
        <v>906740</v>
      </c>
      <c r="N172" s="3852">
        <f>257905+15809+25500-98822-10090</f>
        <v>190302</v>
      </c>
      <c r="O172" s="3852">
        <f>83218+113137-1984-933</f>
        <v>193438</v>
      </c>
      <c r="P172" s="3852">
        <v>0</v>
      </c>
      <c r="Q172" s="3852">
        <v>0</v>
      </c>
      <c r="R172" s="3852"/>
      <c r="S172" s="3852"/>
      <c r="T172" s="3852"/>
      <c r="U172" s="3852"/>
      <c r="V172" s="3852"/>
      <c r="W172" s="3852"/>
      <c r="X172" s="4213"/>
      <c r="Y172" s="4208"/>
      <c r="Z172" s="3798"/>
    </row>
    <row r="173" spans="1:27" ht="65.25" customHeight="1">
      <c r="A173" s="4205" t="s">
        <v>109</v>
      </c>
      <c r="B173" s="3838" t="s">
        <v>172</v>
      </c>
      <c r="C173" s="3839" t="s">
        <v>131</v>
      </c>
      <c r="D173" s="3829"/>
      <c r="E173" s="3829"/>
      <c r="F173" s="3829"/>
      <c r="G173" s="3829"/>
      <c r="H173" s="3829"/>
      <c r="I173" s="3841"/>
      <c r="J173" s="3841"/>
      <c r="K173" s="3841"/>
      <c r="L173" s="3841"/>
      <c r="M173" s="3841"/>
      <c r="N173" s="3841"/>
      <c r="O173" s="3841"/>
      <c r="P173" s="3841"/>
      <c r="Q173" s="3841"/>
      <c r="R173" s="3829"/>
      <c r="S173" s="3829"/>
      <c r="T173" s="3829"/>
      <c r="U173" s="3829"/>
      <c r="V173" s="3829"/>
      <c r="W173" s="3829"/>
      <c r="X173" s="3819"/>
      <c r="Y173" s="4207" t="s">
        <v>170</v>
      </c>
      <c r="Z173" s="3798"/>
    </row>
    <row r="174" spans="1:27" ht="11.25" customHeight="1">
      <c r="A174" s="4205"/>
      <c r="B174" s="3842" t="s">
        <v>22</v>
      </c>
      <c r="C174" s="3817"/>
      <c r="D174" s="3857">
        <f t="shared" ref="D174:O174" si="163">+D175+D178</f>
        <v>6140181</v>
      </c>
      <c r="E174" s="3857">
        <f t="shared" si="163"/>
        <v>0</v>
      </c>
      <c r="F174" s="3857">
        <f t="shared" si="163"/>
        <v>0</v>
      </c>
      <c r="G174" s="3857">
        <f t="shared" si="163"/>
        <v>0</v>
      </c>
      <c r="H174" s="3857">
        <f t="shared" si="163"/>
        <v>0</v>
      </c>
      <c r="I174" s="3857">
        <f t="shared" si="163"/>
        <v>0</v>
      </c>
      <c r="J174" s="3857">
        <f t="shared" si="163"/>
        <v>0</v>
      </c>
      <c r="K174" s="3857">
        <f t="shared" si="163"/>
        <v>1502107</v>
      </c>
      <c r="L174" s="3857">
        <f t="shared" si="163"/>
        <v>384499</v>
      </c>
      <c r="M174" s="3857">
        <f t="shared" si="163"/>
        <v>4061180</v>
      </c>
      <c r="N174" s="3857">
        <f t="shared" si="163"/>
        <v>2174574</v>
      </c>
      <c r="O174" s="3857">
        <f t="shared" si="163"/>
        <v>2079001</v>
      </c>
      <c r="P174" s="3857">
        <f t="shared" ref="P174" si="164">+P175+P178</f>
        <v>0</v>
      </c>
      <c r="Q174" s="3857">
        <f>+Q175+Q178</f>
        <v>0</v>
      </c>
      <c r="R174" s="3857">
        <f t="shared" ref="R174:T174" si="165">+R175+R178</f>
        <v>0</v>
      </c>
      <c r="S174" s="3857">
        <f t="shared" si="165"/>
        <v>0</v>
      </c>
      <c r="T174" s="3857">
        <f t="shared" si="165"/>
        <v>0</v>
      </c>
      <c r="U174" s="3857"/>
      <c r="V174" s="3857"/>
      <c r="W174" s="3857"/>
      <c r="X174" s="3844">
        <f>+X175+X178</f>
        <v>0</v>
      </c>
      <c r="Y174" s="4207"/>
      <c r="Z174" s="3812">
        <f>+O174+P174+Q174+R174</f>
        <v>2079001</v>
      </c>
      <c r="AA174" s="2358"/>
    </row>
    <row r="175" spans="1:27" ht="11.25" hidden="1" customHeight="1">
      <c r="A175" s="4205"/>
      <c r="B175" s="3858" t="s">
        <v>36</v>
      </c>
      <c r="C175" s="4209" t="s">
        <v>171</v>
      </c>
      <c r="D175" s="3847">
        <f t="shared" ref="D175:O175" si="166">+D176+D177</f>
        <v>0</v>
      </c>
      <c r="E175" s="3847">
        <f t="shared" si="166"/>
        <v>0</v>
      </c>
      <c r="F175" s="3847">
        <f t="shared" si="166"/>
        <v>0</v>
      </c>
      <c r="G175" s="3847">
        <f t="shared" si="166"/>
        <v>0</v>
      </c>
      <c r="H175" s="3847">
        <f t="shared" si="166"/>
        <v>0</v>
      </c>
      <c r="I175" s="3847">
        <f t="shared" si="166"/>
        <v>0</v>
      </c>
      <c r="J175" s="3847">
        <f t="shared" si="166"/>
        <v>0</v>
      </c>
      <c r="K175" s="3847">
        <f t="shared" si="166"/>
        <v>0</v>
      </c>
      <c r="L175" s="3847">
        <f t="shared" si="166"/>
        <v>0</v>
      </c>
      <c r="M175" s="3847">
        <f t="shared" si="166"/>
        <v>0</v>
      </c>
      <c r="N175" s="3847">
        <f t="shared" si="166"/>
        <v>0</v>
      </c>
      <c r="O175" s="3847">
        <f t="shared" si="166"/>
        <v>0</v>
      </c>
      <c r="P175" s="3847">
        <f t="shared" ref="P175" si="167">+P176+P177</f>
        <v>0</v>
      </c>
      <c r="Q175" s="3847">
        <f>+Q176+Q177</f>
        <v>0</v>
      </c>
      <c r="R175" s="3847">
        <f t="shared" ref="R175:T175" si="168">+R176+R177</f>
        <v>0</v>
      </c>
      <c r="S175" s="3847">
        <f t="shared" si="168"/>
        <v>0</v>
      </c>
      <c r="T175" s="3847">
        <f t="shared" si="168"/>
        <v>0</v>
      </c>
      <c r="U175" s="3847"/>
      <c r="V175" s="3847"/>
      <c r="W175" s="3847"/>
      <c r="X175" s="3860">
        <f>+X176+X177</f>
        <v>0</v>
      </c>
      <c r="Y175" s="4207"/>
      <c r="Z175" s="3798"/>
    </row>
    <row r="176" spans="1:27" ht="11.25" hidden="1" customHeight="1">
      <c r="A176" s="4205"/>
      <c r="B176" s="3850" t="s">
        <v>24</v>
      </c>
      <c r="C176" s="4210"/>
      <c r="D176" s="3851">
        <f>+E176+I176+J176+K176+L176</f>
        <v>0</v>
      </c>
      <c r="E176" s="3859">
        <f>+F176+G176+H176</f>
        <v>0</v>
      </c>
      <c r="F176" s="3852"/>
      <c r="G176" s="3852"/>
      <c r="H176" s="3859"/>
      <c r="I176" s="3859"/>
      <c r="J176" s="3859"/>
      <c r="K176" s="3852"/>
      <c r="L176" s="3852"/>
      <c r="M176" s="3852"/>
      <c r="N176" s="3852"/>
      <c r="O176" s="3852"/>
      <c r="P176" s="3852"/>
      <c r="Q176" s="3852"/>
      <c r="R176" s="3852"/>
      <c r="S176" s="3852"/>
      <c r="T176" s="3852"/>
      <c r="U176" s="3852"/>
      <c r="V176" s="3852"/>
      <c r="W176" s="3852"/>
      <c r="X176" s="3853">
        <f>+L176+M176+O176</f>
        <v>0</v>
      </c>
      <c r="Y176" s="4207"/>
      <c r="Z176" s="3798"/>
    </row>
    <row r="177" spans="1:27" ht="11.25" hidden="1" customHeight="1">
      <c r="A177" s="4205"/>
      <c r="B177" s="3850" t="s">
        <v>25</v>
      </c>
      <c r="C177" s="4210"/>
      <c r="D177" s="3851">
        <f>+E177+I177+J177+K177+L177+N177+O177+P177</f>
        <v>0</v>
      </c>
      <c r="E177" s="3859">
        <f>+F177+G177+H177</f>
        <v>0</v>
      </c>
      <c r="F177" s="3852"/>
      <c r="G177" s="3852">
        <v>0</v>
      </c>
      <c r="H177" s="3859"/>
      <c r="I177" s="3859">
        <v>0</v>
      </c>
      <c r="J177" s="3859">
        <v>0</v>
      </c>
      <c r="K177" s="3852">
        <v>0</v>
      </c>
      <c r="L177" s="3852">
        <v>0</v>
      </c>
      <c r="M177" s="3852">
        <v>0</v>
      </c>
      <c r="N177" s="3852">
        <v>0</v>
      </c>
      <c r="O177" s="3852">
        <v>0</v>
      </c>
      <c r="P177" s="3852"/>
      <c r="Q177" s="3852"/>
      <c r="R177" s="3852"/>
      <c r="S177" s="3852"/>
      <c r="T177" s="3852"/>
      <c r="U177" s="3852"/>
      <c r="V177" s="3852"/>
      <c r="W177" s="3852"/>
      <c r="X177" s="3853">
        <f>SUM(O177:R177)</f>
        <v>0</v>
      </c>
      <c r="Y177" s="4207"/>
      <c r="Z177" s="3798"/>
    </row>
    <row r="178" spans="1:27" ht="12.75" customHeight="1">
      <c r="A178" s="4205"/>
      <c r="B178" s="3845" t="s">
        <v>30</v>
      </c>
      <c r="C178" s="4210"/>
      <c r="D178" s="3846">
        <f>+D179</f>
        <v>6140181</v>
      </c>
      <c r="E178" s="3846">
        <f t="shared" ref="E178:O178" si="169">+E179</f>
        <v>0</v>
      </c>
      <c r="F178" s="3846">
        <f t="shared" si="169"/>
        <v>0</v>
      </c>
      <c r="G178" s="3846">
        <f t="shared" si="169"/>
        <v>0</v>
      </c>
      <c r="H178" s="3846">
        <f t="shared" si="169"/>
        <v>0</v>
      </c>
      <c r="I178" s="3846">
        <f t="shared" si="169"/>
        <v>0</v>
      </c>
      <c r="J178" s="3846">
        <f t="shared" si="169"/>
        <v>0</v>
      </c>
      <c r="K178" s="3846">
        <f t="shared" si="169"/>
        <v>1502107</v>
      </c>
      <c r="L178" s="3846">
        <f t="shared" si="169"/>
        <v>384499</v>
      </c>
      <c r="M178" s="3846">
        <f t="shared" si="169"/>
        <v>4061180</v>
      </c>
      <c r="N178" s="3846">
        <f t="shared" si="169"/>
        <v>2174574</v>
      </c>
      <c r="O178" s="3846">
        <f t="shared" si="169"/>
        <v>2079001</v>
      </c>
      <c r="P178" s="3846">
        <f t="shared" ref="P178:X178" si="170">+P179</f>
        <v>0</v>
      </c>
      <c r="Q178" s="3846">
        <f t="shared" si="170"/>
        <v>0</v>
      </c>
      <c r="R178" s="3846">
        <f t="shared" si="170"/>
        <v>0</v>
      </c>
      <c r="S178" s="3846">
        <f t="shared" si="170"/>
        <v>0</v>
      </c>
      <c r="T178" s="3846">
        <f t="shared" si="170"/>
        <v>0</v>
      </c>
      <c r="U178" s="3846"/>
      <c r="V178" s="3846"/>
      <c r="W178" s="3846"/>
      <c r="X178" s="3861">
        <f t="shared" si="170"/>
        <v>0</v>
      </c>
      <c r="Y178" s="4207"/>
      <c r="Z178" s="3798"/>
    </row>
    <row r="179" spans="1:27" ht="11.25" customHeight="1">
      <c r="A179" s="4205"/>
      <c r="B179" s="3850" t="s">
        <v>33</v>
      </c>
      <c r="C179" s="4210"/>
      <c r="D179" s="3851">
        <f>M179+O179+P179+Q179+R179+S179+T179+U179+V179+W179</f>
        <v>6140181</v>
      </c>
      <c r="E179" s="3859">
        <f>+F179+G179+H179</f>
        <v>0</v>
      </c>
      <c r="F179" s="3852"/>
      <c r="G179" s="3852"/>
      <c r="H179" s="3859"/>
      <c r="I179" s="3859">
        <v>0</v>
      </c>
      <c r="J179" s="3859">
        <v>0</v>
      </c>
      <c r="K179" s="3852">
        <f>1973000-512117+41224</f>
        <v>1502107</v>
      </c>
      <c r="L179" s="3852">
        <f>1500000-922000+922000-1016500-115750+16749</f>
        <v>384499</v>
      </c>
      <c r="M179" s="3852">
        <f>+L179+K179+J179+I179+E179+N179</f>
        <v>4061180</v>
      </c>
      <c r="N179" s="3852">
        <f>1500000+3922000-922000+1016500-1703354-39965-1597529-1078</f>
        <v>2174574</v>
      </c>
      <c r="O179" s="3852">
        <f>1819104+39965+1597529-1377594-3</f>
        <v>2079001</v>
      </c>
      <c r="P179" s="3852">
        <v>0</v>
      </c>
      <c r="Q179" s="3852">
        <v>0</v>
      </c>
      <c r="R179" s="3852">
        <v>0</v>
      </c>
      <c r="S179" s="3852">
        <v>0</v>
      </c>
      <c r="T179" s="3852">
        <v>0</v>
      </c>
      <c r="U179" s="3852"/>
      <c r="V179" s="3852"/>
      <c r="W179" s="3852"/>
      <c r="X179" s="3853">
        <f>SUM(P179:T179)</f>
        <v>0</v>
      </c>
      <c r="Y179" s="4207"/>
      <c r="Z179" s="3798"/>
    </row>
    <row r="180" spans="1:27" ht="11.25" customHeight="1">
      <c r="A180" s="4206"/>
      <c r="B180" s="3842" t="s">
        <v>34</v>
      </c>
      <c r="C180" s="3817"/>
      <c r="D180" s="3843">
        <f t="shared" ref="D180:L180" si="171">+D181+D183</f>
        <v>6140181</v>
      </c>
      <c r="E180" s="3843">
        <f t="shared" si="171"/>
        <v>0</v>
      </c>
      <c r="F180" s="3843">
        <f t="shared" si="171"/>
        <v>0</v>
      </c>
      <c r="G180" s="3843">
        <f t="shared" si="171"/>
        <v>0</v>
      </c>
      <c r="H180" s="3843">
        <f t="shared" si="171"/>
        <v>0</v>
      </c>
      <c r="I180" s="3843">
        <f t="shared" si="171"/>
        <v>0</v>
      </c>
      <c r="J180" s="3843">
        <f t="shared" si="171"/>
        <v>0</v>
      </c>
      <c r="K180" s="3843">
        <f t="shared" si="171"/>
        <v>1440142</v>
      </c>
      <c r="L180" s="3843">
        <f t="shared" si="171"/>
        <v>374715</v>
      </c>
      <c r="M180" s="3843">
        <f>+M181+M183</f>
        <v>4168513</v>
      </c>
      <c r="N180" s="3843">
        <f>+N181+N183</f>
        <v>2353656</v>
      </c>
      <c r="O180" s="3843">
        <f>+O181+O183</f>
        <v>1953541</v>
      </c>
      <c r="P180" s="3843">
        <f>+P181+P183</f>
        <v>18127</v>
      </c>
      <c r="Q180" s="3843">
        <f>+Q181+Q183</f>
        <v>0</v>
      </c>
      <c r="R180" s="3843">
        <f t="shared" ref="R180:T180" si="172">+R181+R183</f>
        <v>0</v>
      </c>
      <c r="S180" s="3843">
        <f t="shared" si="172"/>
        <v>0</v>
      </c>
      <c r="T180" s="3843">
        <f t="shared" si="172"/>
        <v>0</v>
      </c>
      <c r="U180" s="3843"/>
      <c r="V180" s="3843"/>
      <c r="W180" s="3843"/>
      <c r="X180" s="4213" t="s">
        <v>77</v>
      </c>
      <c r="Y180" s="4208"/>
      <c r="Z180" s="3798"/>
    </row>
    <row r="181" spans="1:27" ht="11.25" hidden="1" customHeight="1">
      <c r="A181" s="4206"/>
      <c r="B181" s="3858" t="s">
        <v>36</v>
      </c>
      <c r="C181" s="4211" t="s">
        <v>173</v>
      </c>
      <c r="D181" s="3846">
        <f t="shared" ref="D181:O181" si="173">+D182</f>
        <v>0</v>
      </c>
      <c r="E181" s="3846">
        <f t="shared" si="173"/>
        <v>0</v>
      </c>
      <c r="F181" s="3846">
        <f t="shared" si="173"/>
        <v>0</v>
      </c>
      <c r="G181" s="3846">
        <f t="shared" si="173"/>
        <v>0</v>
      </c>
      <c r="H181" s="3846">
        <f t="shared" si="173"/>
        <v>0</v>
      </c>
      <c r="I181" s="3846">
        <f t="shared" si="173"/>
        <v>0</v>
      </c>
      <c r="J181" s="3846">
        <f t="shared" si="173"/>
        <v>0</v>
      </c>
      <c r="K181" s="3846">
        <f t="shared" si="173"/>
        <v>0</v>
      </c>
      <c r="L181" s="3846">
        <f t="shared" si="173"/>
        <v>0</v>
      </c>
      <c r="M181" s="3846">
        <f t="shared" si="173"/>
        <v>0</v>
      </c>
      <c r="N181" s="3846">
        <f t="shared" si="173"/>
        <v>0</v>
      </c>
      <c r="O181" s="3846">
        <f t="shared" si="173"/>
        <v>0</v>
      </c>
      <c r="P181" s="3846">
        <f t="shared" ref="P181" si="174">+P182</f>
        <v>0</v>
      </c>
      <c r="Q181" s="3846">
        <v>0</v>
      </c>
      <c r="R181" s="3846">
        <v>0</v>
      </c>
      <c r="S181" s="3846">
        <v>0</v>
      </c>
      <c r="T181" s="3846">
        <v>0</v>
      </c>
      <c r="U181" s="3846"/>
      <c r="V181" s="3846"/>
      <c r="W181" s="3846"/>
      <c r="X181" s="4213"/>
      <c r="Y181" s="4208"/>
      <c r="Z181" s="3798"/>
    </row>
    <row r="182" spans="1:27" ht="11.25" hidden="1" customHeight="1">
      <c r="A182" s="4206"/>
      <c r="B182" s="3850" t="s">
        <v>25</v>
      </c>
      <c r="C182" s="4210"/>
      <c r="D182" s="3851">
        <f>+E182+I182+J182+K182+L182+N182+O182+P182</f>
        <v>0</v>
      </c>
      <c r="E182" s="3851">
        <f>+F182+G182+H182</f>
        <v>0</v>
      </c>
      <c r="F182" s="3851"/>
      <c r="G182" s="3851"/>
      <c r="H182" s="3851"/>
      <c r="I182" s="3851">
        <v>0</v>
      </c>
      <c r="J182" s="3851">
        <v>0</v>
      </c>
      <c r="K182" s="3851"/>
      <c r="L182" s="3851"/>
      <c r="M182" s="3851"/>
      <c r="N182" s="3851"/>
      <c r="O182" s="3851"/>
      <c r="P182" s="3851"/>
      <c r="Q182" s="3851"/>
      <c r="R182" s="3851"/>
      <c r="S182" s="3851"/>
      <c r="T182" s="3851"/>
      <c r="U182" s="3851"/>
      <c r="V182" s="3851"/>
      <c r="W182" s="3851"/>
      <c r="X182" s="4213"/>
      <c r="Y182" s="4208"/>
      <c r="Z182" s="3798"/>
    </row>
    <row r="183" spans="1:27" ht="13.5" customHeight="1">
      <c r="A183" s="4206"/>
      <c r="B183" s="3845" t="s">
        <v>30</v>
      </c>
      <c r="C183" s="4212"/>
      <c r="D183" s="3846">
        <f t="shared" ref="D183:O183" si="175">+D184</f>
        <v>6140181</v>
      </c>
      <c r="E183" s="3846">
        <f t="shared" si="175"/>
        <v>0</v>
      </c>
      <c r="F183" s="3846">
        <f t="shared" si="175"/>
        <v>0</v>
      </c>
      <c r="G183" s="3846">
        <f t="shared" si="175"/>
        <v>0</v>
      </c>
      <c r="H183" s="3846">
        <f t="shared" si="175"/>
        <v>0</v>
      </c>
      <c r="I183" s="3846">
        <f t="shared" si="175"/>
        <v>0</v>
      </c>
      <c r="J183" s="3846">
        <f t="shared" si="175"/>
        <v>0</v>
      </c>
      <c r="K183" s="3846">
        <f t="shared" si="175"/>
        <v>1440142</v>
      </c>
      <c r="L183" s="3846">
        <f t="shared" si="175"/>
        <v>374715</v>
      </c>
      <c r="M183" s="3846">
        <f t="shared" si="175"/>
        <v>4168513</v>
      </c>
      <c r="N183" s="3846">
        <f t="shared" si="175"/>
        <v>2353656</v>
      </c>
      <c r="O183" s="3846">
        <f t="shared" si="175"/>
        <v>1953541</v>
      </c>
      <c r="P183" s="3846">
        <f t="shared" ref="P183" si="176">+P184</f>
        <v>18127</v>
      </c>
      <c r="Q183" s="3846">
        <v>0</v>
      </c>
      <c r="R183" s="3846">
        <v>0</v>
      </c>
      <c r="S183" s="3846">
        <v>0</v>
      </c>
      <c r="T183" s="3846">
        <v>0</v>
      </c>
      <c r="U183" s="3846"/>
      <c r="V183" s="3846"/>
      <c r="W183" s="3846"/>
      <c r="X183" s="4213"/>
      <c r="Y183" s="4208"/>
      <c r="Z183" s="3798"/>
    </row>
    <row r="184" spans="1:27" ht="12.75" customHeight="1">
      <c r="A184" s="4206"/>
      <c r="B184" s="3850" t="s">
        <v>33</v>
      </c>
      <c r="C184" s="4212"/>
      <c r="D184" s="3851">
        <f>M184+O184+P184+Q184+R184+S184+T184+U184+V184+W184</f>
        <v>6140181</v>
      </c>
      <c r="E184" s="3852">
        <v>0</v>
      </c>
      <c r="F184" s="3852"/>
      <c r="G184" s="3852"/>
      <c r="H184" s="3852"/>
      <c r="I184" s="3852">
        <v>0</v>
      </c>
      <c r="J184" s="3852">
        <v>0</v>
      </c>
      <c r="K184" s="3852">
        <f>1973000-532858</f>
        <v>1440142</v>
      </c>
      <c r="L184" s="3852">
        <f>1500000-922000+922000-1016500-108786+1</f>
        <v>374715</v>
      </c>
      <c r="M184" s="3852">
        <f>+L184+K184+J184+I184+E184+N184</f>
        <v>4168513</v>
      </c>
      <c r="N184" s="3852">
        <f>1500000+3942741-922000+1016500-1652346-111714-1597529+178004</f>
        <v>2353656</v>
      </c>
      <c r="O184" s="3852">
        <f>1761132+111714+1597529-1498704-18130</f>
        <v>1953541</v>
      </c>
      <c r="P184" s="3852">
        <v>18127</v>
      </c>
      <c r="Q184" s="3852">
        <v>0</v>
      </c>
      <c r="R184" s="3852">
        <v>0</v>
      </c>
      <c r="S184" s="3852">
        <v>0</v>
      </c>
      <c r="T184" s="3852">
        <v>0</v>
      </c>
      <c r="U184" s="3852"/>
      <c r="V184" s="3852"/>
      <c r="W184" s="3852"/>
      <c r="X184" s="4213"/>
      <c r="Y184" s="4208"/>
      <c r="Z184" s="3798"/>
    </row>
    <row r="185" spans="1:27" ht="32.25" customHeight="1">
      <c r="A185" s="4205" t="s">
        <v>110</v>
      </c>
      <c r="B185" s="3838" t="s">
        <v>460</v>
      </c>
      <c r="C185" s="3839" t="s">
        <v>131</v>
      </c>
      <c r="D185" s="3829"/>
      <c r="E185" s="3829"/>
      <c r="F185" s="3829"/>
      <c r="G185" s="3829"/>
      <c r="H185" s="3829"/>
      <c r="I185" s="3841"/>
      <c r="J185" s="3841"/>
      <c r="K185" s="3841"/>
      <c r="L185" s="3841"/>
      <c r="M185" s="3841"/>
      <c r="N185" s="3841"/>
      <c r="O185" s="3841"/>
      <c r="P185" s="3841"/>
      <c r="Q185" s="3841"/>
      <c r="R185" s="3841"/>
      <c r="S185" s="3841"/>
      <c r="T185" s="3841"/>
      <c r="U185" s="3841"/>
      <c r="V185" s="3841"/>
      <c r="W185" s="3841"/>
      <c r="X185" s="3819"/>
      <c r="Y185" s="4207" t="s">
        <v>170</v>
      </c>
      <c r="Z185" s="3798"/>
    </row>
    <row r="186" spans="1:27" ht="11.25" customHeight="1">
      <c r="A186" s="4205"/>
      <c r="B186" s="3842" t="s">
        <v>22</v>
      </c>
      <c r="C186" s="3857"/>
      <c r="D186" s="3857">
        <f t="shared" ref="D186:P186" si="177">+D187+D190</f>
        <v>825558</v>
      </c>
      <c r="E186" s="3857">
        <f t="shared" si="177"/>
        <v>0</v>
      </c>
      <c r="F186" s="3857">
        <f t="shared" si="177"/>
        <v>0</v>
      </c>
      <c r="G186" s="3857">
        <f t="shared" si="177"/>
        <v>0</v>
      </c>
      <c r="H186" s="3857">
        <f t="shared" si="177"/>
        <v>0</v>
      </c>
      <c r="I186" s="3857">
        <f t="shared" si="177"/>
        <v>0</v>
      </c>
      <c r="J186" s="3857">
        <f t="shared" si="177"/>
        <v>0</v>
      </c>
      <c r="K186" s="3857">
        <f t="shared" si="177"/>
        <v>213150</v>
      </c>
      <c r="L186" s="3857">
        <f t="shared" si="177"/>
        <v>119050</v>
      </c>
      <c r="M186" s="3857">
        <f t="shared" ref="M186" si="178">+M187+M190</f>
        <v>563584</v>
      </c>
      <c r="N186" s="3857">
        <f t="shared" si="177"/>
        <v>231384</v>
      </c>
      <c r="O186" s="3857">
        <f t="shared" si="177"/>
        <v>261974</v>
      </c>
      <c r="P186" s="3857">
        <f t="shared" si="177"/>
        <v>0</v>
      </c>
      <c r="Q186" s="3857">
        <f>+Q187+Q190</f>
        <v>0</v>
      </c>
      <c r="R186" s="3857"/>
      <c r="S186" s="3857"/>
      <c r="T186" s="3857"/>
      <c r="U186" s="3857"/>
      <c r="V186" s="3857"/>
      <c r="W186" s="3857"/>
      <c r="X186" s="3844">
        <f>+X187+X190</f>
        <v>0</v>
      </c>
      <c r="Y186" s="4207"/>
      <c r="Z186" s="3812">
        <f>+O186+P186+Q186+R186</f>
        <v>261974</v>
      </c>
      <c r="AA186" s="2358"/>
    </row>
    <row r="187" spans="1:27" ht="11.25" hidden="1" customHeight="1">
      <c r="A187" s="4205"/>
      <c r="B187" s="3872" t="s">
        <v>36</v>
      </c>
      <c r="C187" s="4209" t="s">
        <v>171</v>
      </c>
      <c r="D187" s="3872">
        <f t="shared" ref="D187:P187" si="179">+D188+D189</f>
        <v>0</v>
      </c>
      <c r="E187" s="3872">
        <f t="shared" si="179"/>
        <v>0</v>
      </c>
      <c r="F187" s="3872">
        <f t="shared" si="179"/>
        <v>0</v>
      </c>
      <c r="G187" s="3872">
        <f t="shared" si="179"/>
        <v>0</v>
      </c>
      <c r="H187" s="3872">
        <f t="shared" si="179"/>
        <v>0</v>
      </c>
      <c r="I187" s="3872">
        <f t="shared" si="179"/>
        <v>0</v>
      </c>
      <c r="J187" s="3872">
        <f t="shared" si="179"/>
        <v>0</v>
      </c>
      <c r="K187" s="3872">
        <f t="shared" si="179"/>
        <v>0</v>
      </c>
      <c r="L187" s="3872">
        <f t="shared" si="179"/>
        <v>0</v>
      </c>
      <c r="M187" s="3872">
        <f t="shared" ref="M187" si="180">+M188+M189</f>
        <v>0</v>
      </c>
      <c r="N187" s="3872">
        <f t="shared" si="179"/>
        <v>0</v>
      </c>
      <c r="O187" s="3872">
        <f t="shared" si="179"/>
        <v>0</v>
      </c>
      <c r="P187" s="3872">
        <f t="shared" si="179"/>
        <v>0</v>
      </c>
      <c r="Q187" s="3872">
        <f>+Q188+Q189</f>
        <v>0</v>
      </c>
      <c r="R187" s="3872"/>
      <c r="S187" s="3872"/>
      <c r="T187" s="3872"/>
      <c r="U187" s="3872"/>
      <c r="V187" s="3872"/>
      <c r="W187" s="3872"/>
      <c r="X187" s="3860">
        <f>+X188+X189</f>
        <v>0</v>
      </c>
      <c r="Y187" s="4207"/>
      <c r="Z187" s="3798"/>
    </row>
    <row r="188" spans="1:27" ht="11.25" hidden="1" customHeight="1">
      <c r="A188" s="4205"/>
      <c r="B188" s="3872" t="s">
        <v>24</v>
      </c>
      <c r="C188" s="4210"/>
      <c r="D188" s="3872">
        <f>+E188+I188+J188+K188+L188</f>
        <v>0</v>
      </c>
      <c r="E188" s="3872">
        <f>+F188+G188+H188</f>
        <v>0</v>
      </c>
      <c r="F188" s="3872"/>
      <c r="G188" s="3872"/>
      <c r="H188" s="3872"/>
      <c r="I188" s="3872"/>
      <c r="J188" s="3872"/>
      <c r="K188" s="3872"/>
      <c r="L188" s="3872"/>
      <c r="M188" s="3872"/>
      <c r="N188" s="3872"/>
      <c r="O188" s="3872"/>
      <c r="P188" s="3872"/>
      <c r="Q188" s="3872"/>
      <c r="R188" s="3872"/>
      <c r="S188" s="3872"/>
      <c r="T188" s="3872"/>
      <c r="U188" s="3872"/>
      <c r="V188" s="3872"/>
      <c r="W188" s="3872"/>
      <c r="X188" s="3853">
        <f>+L188+M188+O188</f>
        <v>0</v>
      </c>
      <c r="Y188" s="4207"/>
      <c r="Z188" s="3798"/>
    </row>
    <row r="189" spans="1:27" ht="11.25" hidden="1" customHeight="1">
      <c r="A189" s="4205"/>
      <c r="B189" s="3872" t="s">
        <v>25</v>
      </c>
      <c r="C189" s="4210"/>
      <c r="D189" s="3872">
        <f>+E189+I189+J189+K189+L189+N189+O189+P189</f>
        <v>0</v>
      </c>
      <c r="E189" s="3872">
        <f>+F189+G189+H189</f>
        <v>0</v>
      </c>
      <c r="F189" s="3872"/>
      <c r="G189" s="3872">
        <v>0</v>
      </c>
      <c r="H189" s="3872"/>
      <c r="I189" s="3872"/>
      <c r="J189" s="3872"/>
      <c r="K189" s="3872"/>
      <c r="L189" s="3872"/>
      <c r="M189" s="3872"/>
      <c r="N189" s="3872"/>
      <c r="O189" s="3872"/>
      <c r="P189" s="3872"/>
      <c r="Q189" s="3872"/>
      <c r="R189" s="3872"/>
      <c r="S189" s="3872"/>
      <c r="T189" s="3872"/>
      <c r="U189" s="3872"/>
      <c r="V189" s="3872"/>
      <c r="W189" s="3872"/>
      <c r="X189" s="3853">
        <f>SUM(O189:R189)</f>
        <v>0</v>
      </c>
      <c r="Y189" s="4207"/>
      <c r="Z189" s="3798"/>
    </row>
    <row r="190" spans="1:27" ht="12.75" customHeight="1">
      <c r="A190" s="4205"/>
      <c r="B190" s="3845" t="s">
        <v>30</v>
      </c>
      <c r="C190" s="4210"/>
      <c r="D190" s="3846">
        <f>+D191</f>
        <v>825558</v>
      </c>
      <c r="E190" s="3846">
        <f t="shared" ref="E190:X190" si="181">+E191</f>
        <v>0</v>
      </c>
      <c r="F190" s="3846">
        <f t="shared" si="181"/>
        <v>0</v>
      </c>
      <c r="G190" s="3846">
        <f t="shared" si="181"/>
        <v>0</v>
      </c>
      <c r="H190" s="3846">
        <f t="shared" si="181"/>
        <v>0</v>
      </c>
      <c r="I190" s="3846">
        <f t="shared" si="181"/>
        <v>0</v>
      </c>
      <c r="J190" s="3846">
        <f t="shared" si="181"/>
        <v>0</v>
      </c>
      <c r="K190" s="3846">
        <f t="shared" si="181"/>
        <v>213150</v>
      </c>
      <c r="L190" s="3846">
        <f t="shared" si="181"/>
        <v>119050</v>
      </c>
      <c r="M190" s="3846">
        <f t="shared" si="181"/>
        <v>563584</v>
      </c>
      <c r="N190" s="3846">
        <f t="shared" si="181"/>
        <v>231384</v>
      </c>
      <c r="O190" s="3846">
        <f t="shared" si="181"/>
        <v>261974</v>
      </c>
      <c r="P190" s="3846">
        <f t="shared" si="181"/>
        <v>0</v>
      </c>
      <c r="Q190" s="3846">
        <f t="shared" si="181"/>
        <v>0</v>
      </c>
      <c r="R190" s="3846"/>
      <c r="S190" s="3846"/>
      <c r="T190" s="3846"/>
      <c r="U190" s="3846"/>
      <c r="V190" s="3846"/>
      <c r="W190" s="3846"/>
      <c r="X190" s="3861">
        <f t="shared" si="181"/>
        <v>0</v>
      </c>
      <c r="Y190" s="4207"/>
      <c r="Z190" s="3798"/>
    </row>
    <row r="191" spans="1:27" ht="13.5" customHeight="1">
      <c r="A191" s="4205"/>
      <c r="B191" s="3850" t="s">
        <v>33</v>
      </c>
      <c r="C191" s="4210"/>
      <c r="D191" s="3851">
        <f>M191+O191+P191+Q191+R191+S191+T191+U191+V191+W191</f>
        <v>825558</v>
      </c>
      <c r="E191" s="3859">
        <f>+F191+G191+H191</f>
        <v>0</v>
      </c>
      <c r="F191" s="3852"/>
      <c r="G191" s="3852"/>
      <c r="H191" s="3859"/>
      <c r="I191" s="3859">
        <v>0</v>
      </c>
      <c r="J191" s="3859">
        <v>0</v>
      </c>
      <c r="K191" s="3852">
        <f>219301-6151</f>
        <v>213150</v>
      </c>
      <c r="L191" s="3852">
        <f>450000-320000-27891+16941</f>
        <v>119050</v>
      </c>
      <c r="M191" s="3852">
        <f>+L191+K191+J191+I191+E191+N191</f>
        <v>563584</v>
      </c>
      <c r="N191" s="3852">
        <f>250000+320000-338616</f>
        <v>231384</v>
      </c>
      <c r="O191" s="3852">
        <f>339000-77026</f>
        <v>261974</v>
      </c>
      <c r="P191" s="3852">
        <v>0</v>
      </c>
      <c r="Q191" s="3852">
        <v>0</v>
      </c>
      <c r="R191" s="3852"/>
      <c r="S191" s="3852"/>
      <c r="T191" s="3852"/>
      <c r="U191" s="3852"/>
      <c r="V191" s="3852"/>
      <c r="W191" s="3852"/>
      <c r="X191" s="3853">
        <f>SUM(P191:T191)</f>
        <v>0</v>
      </c>
      <c r="Y191" s="4207"/>
      <c r="Z191" s="3798"/>
    </row>
    <row r="192" spans="1:27" ht="11.25" customHeight="1">
      <c r="A192" s="4206"/>
      <c r="B192" s="3842" t="s">
        <v>34</v>
      </c>
      <c r="C192" s="3817"/>
      <c r="D192" s="3843">
        <f t="shared" ref="D192:L192" si="182">+D193+D195</f>
        <v>825558</v>
      </c>
      <c r="E192" s="3843">
        <f t="shared" si="182"/>
        <v>0</v>
      </c>
      <c r="F192" s="3843">
        <f t="shared" si="182"/>
        <v>0</v>
      </c>
      <c r="G192" s="3843">
        <f t="shared" si="182"/>
        <v>0</v>
      </c>
      <c r="H192" s="3843">
        <f t="shared" si="182"/>
        <v>0</v>
      </c>
      <c r="I192" s="3843">
        <f t="shared" si="182"/>
        <v>0</v>
      </c>
      <c r="J192" s="3843">
        <f t="shared" si="182"/>
        <v>0</v>
      </c>
      <c r="K192" s="3843">
        <f t="shared" si="182"/>
        <v>0</v>
      </c>
      <c r="L192" s="3843">
        <f t="shared" si="182"/>
        <v>0</v>
      </c>
      <c r="M192" s="3843">
        <f t="shared" ref="M192" si="183">+M193+M195</f>
        <v>563584</v>
      </c>
      <c r="N192" s="3843">
        <f>+N193+N195</f>
        <v>563584</v>
      </c>
      <c r="O192" s="3843">
        <f>+O193+O195</f>
        <v>108424</v>
      </c>
      <c r="P192" s="3843">
        <f>+P193+P195</f>
        <v>153550</v>
      </c>
      <c r="Q192" s="3843">
        <f>+Q193+Q195</f>
        <v>0</v>
      </c>
      <c r="R192" s="3843"/>
      <c r="S192" s="3843"/>
      <c r="T192" s="3843"/>
      <c r="U192" s="3843"/>
      <c r="V192" s="3843"/>
      <c r="W192" s="3843"/>
      <c r="X192" s="4213" t="s">
        <v>77</v>
      </c>
      <c r="Y192" s="4208"/>
      <c r="Z192" s="3798"/>
    </row>
    <row r="193" spans="1:29" ht="11.25" hidden="1" customHeight="1">
      <c r="A193" s="4206"/>
      <c r="B193" s="3856" t="s">
        <v>36</v>
      </c>
      <c r="C193" s="4211" t="s">
        <v>173</v>
      </c>
      <c r="D193" s="3846">
        <f t="shared" ref="D193:Q193" si="184">+D194</f>
        <v>0</v>
      </c>
      <c r="E193" s="3846">
        <f t="shared" si="184"/>
        <v>0</v>
      </c>
      <c r="F193" s="3846">
        <f t="shared" si="184"/>
        <v>0</v>
      </c>
      <c r="G193" s="3846">
        <f t="shared" si="184"/>
        <v>0</v>
      </c>
      <c r="H193" s="3846">
        <f t="shared" si="184"/>
        <v>0</v>
      </c>
      <c r="I193" s="3846">
        <f t="shared" si="184"/>
        <v>0</v>
      </c>
      <c r="J193" s="3846">
        <f t="shared" si="184"/>
        <v>0</v>
      </c>
      <c r="K193" s="3846">
        <f t="shared" si="184"/>
        <v>0</v>
      </c>
      <c r="L193" s="3846">
        <f t="shared" si="184"/>
        <v>0</v>
      </c>
      <c r="M193" s="3846">
        <f t="shared" si="184"/>
        <v>0</v>
      </c>
      <c r="N193" s="3846">
        <f t="shared" si="184"/>
        <v>0</v>
      </c>
      <c r="O193" s="3846">
        <f t="shared" si="184"/>
        <v>0</v>
      </c>
      <c r="P193" s="3846">
        <f t="shared" si="184"/>
        <v>0</v>
      </c>
      <c r="Q193" s="3846">
        <f t="shared" si="184"/>
        <v>0</v>
      </c>
      <c r="R193" s="3846"/>
      <c r="S193" s="3846"/>
      <c r="T193" s="3846"/>
      <c r="U193" s="3846"/>
      <c r="V193" s="3846"/>
      <c r="W193" s="3846"/>
      <c r="X193" s="4213"/>
      <c r="Y193" s="4208"/>
      <c r="Z193" s="3798"/>
    </row>
    <row r="194" spans="1:29" ht="11.25" hidden="1" customHeight="1" thickBot="1">
      <c r="A194" s="4206"/>
      <c r="B194" s="3872" t="s">
        <v>25</v>
      </c>
      <c r="C194" s="4210"/>
      <c r="D194" s="3851">
        <f>M194+O194+P194+Q194+R194+S194+T194+U194+V194+W194</f>
        <v>0</v>
      </c>
      <c r="E194" s="3852">
        <f>+F194+G194+H194</f>
        <v>0</v>
      </c>
      <c r="F194" s="3852"/>
      <c r="G194" s="3852"/>
      <c r="H194" s="3852"/>
      <c r="I194" s="3852"/>
      <c r="J194" s="3852"/>
      <c r="K194" s="3852"/>
      <c r="L194" s="3852"/>
      <c r="M194" s="3852">
        <f>+L194+K194+J194+I194+E194+N194</f>
        <v>0</v>
      </c>
      <c r="N194" s="3852"/>
      <c r="O194" s="3852"/>
      <c r="P194" s="3852"/>
      <c r="Q194" s="3852"/>
      <c r="R194" s="3852"/>
      <c r="S194" s="3852"/>
      <c r="T194" s="3852"/>
      <c r="U194" s="3852"/>
      <c r="V194" s="3852"/>
      <c r="W194" s="3852"/>
      <c r="X194" s="4213"/>
      <c r="Y194" s="4208"/>
      <c r="Z194" s="3798"/>
    </row>
    <row r="195" spans="1:29" ht="15" customHeight="1">
      <c r="A195" s="4206"/>
      <c r="B195" s="3856" t="s">
        <v>30</v>
      </c>
      <c r="C195" s="4212"/>
      <c r="D195" s="3846">
        <f t="shared" ref="D195:Q195" si="185">+D196</f>
        <v>825558</v>
      </c>
      <c r="E195" s="3846">
        <f t="shared" si="185"/>
        <v>0</v>
      </c>
      <c r="F195" s="3846">
        <f t="shared" si="185"/>
        <v>0</v>
      </c>
      <c r="G195" s="3846">
        <f t="shared" si="185"/>
        <v>0</v>
      </c>
      <c r="H195" s="3846">
        <f t="shared" si="185"/>
        <v>0</v>
      </c>
      <c r="I195" s="3846">
        <f t="shared" si="185"/>
        <v>0</v>
      </c>
      <c r="J195" s="3846">
        <f t="shared" si="185"/>
        <v>0</v>
      </c>
      <c r="K195" s="3846">
        <f t="shared" si="185"/>
        <v>0</v>
      </c>
      <c r="L195" s="3846">
        <f t="shared" si="185"/>
        <v>0</v>
      </c>
      <c r="M195" s="3846">
        <f t="shared" si="185"/>
        <v>563584</v>
      </c>
      <c r="N195" s="3846">
        <f t="shared" si="185"/>
        <v>563584</v>
      </c>
      <c r="O195" s="3846">
        <f t="shared" si="185"/>
        <v>108424</v>
      </c>
      <c r="P195" s="3846">
        <f t="shared" si="185"/>
        <v>153550</v>
      </c>
      <c r="Q195" s="3846">
        <f t="shared" si="185"/>
        <v>0</v>
      </c>
      <c r="R195" s="3846"/>
      <c r="S195" s="3846"/>
      <c r="T195" s="3846"/>
      <c r="U195" s="3846"/>
      <c r="V195" s="3846"/>
      <c r="W195" s="3846"/>
      <c r="X195" s="4213"/>
      <c r="Y195" s="4208"/>
      <c r="Z195" s="3798"/>
    </row>
    <row r="196" spans="1:29" ht="13.5" customHeight="1">
      <c r="A196" s="4206"/>
      <c r="B196" s="3856" t="s">
        <v>33</v>
      </c>
      <c r="C196" s="4212"/>
      <c r="D196" s="3851">
        <f>M196+O196+P196+Q196+R196+S196+T196+U196+V196+W196</f>
        <v>825558</v>
      </c>
      <c r="E196" s="3852">
        <f>+F196+G196+H196</f>
        <v>0</v>
      </c>
      <c r="F196" s="3852"/>
      <c r="G196" s="3852"/>
      <c r="H196" s="3852"/>
      <c r="I196" s="3852">
        <v>0</v>
      </c>
      <c r="J196" s="3852">
        <v>0</v>
      </c>
      <c r="K196" s="3852">
        <f>219301-219301</f>
        <v>0</v>
      </c>
      <c r="L196" s="3852">
        <f>450000-320000-130000</f>
        <v>0</v>
      </c>
      <c r="M196" s="3852">
        <f>+L196+K196+J196+I196+E196+N196</f>
        <v>563584</v>
      </c>
      <c r="N196" s="3852">
        <f>250000+219301+320000+102109-327826</f>
        <v>563584</v>
      </c>
      <c r="O196" s="3852">
        <f>339000-230576</f>
        <v>108424</v>
      </c>
      <c r="P196" s="3852">
        <v>153550</v>
      </c>
      <c r="Q196" s="3852">
        <v>0</v>
      </c>
      <c r="R196" s="3852"/>
      <c r="S196" s="3852"/>
      <c r="T196" s="3852"/>
      <c r="U196" s="3852"/>
      <c r="V196" s="3852"/>
      <c r="W196" s="3852"/>
      <c r="X196" s="4213"/>
      <c r="Y196" s="4208"/>
      <c r="Z196" s="3798"/>
    </row>
    <row r="197" spans="1:29" ht="18.75" customHeight="1">
      <c r="A197" s="4205" t="s">
        <v>111</v>
      </c>
      <c r="B197" s="3838" t="s">
        <v>501</v>
      </c>
      <c r="C197" s="3839" t="s">
        <v>131</v>
      </c>
      <c r="D197" s="3829"/>
      <c r="E197" s="3829"/>
      <c r="F197" s="3829"/>
      <c r="G197" s="3829"/>
      <c r="H197" s="3829"/>
      <c r="I197" s="3841"/>
      <c r="J197" s="3841"/>
      <c r="K197" s="3841"/>
      <c r="L197" s="3841"/>
      <c r="M197" s="3841"/>
      <c r="N197" s="3841"/>
      <c r="O197" s="3841"/>
      <c r="P197" s="3841"/>
      <c r="Q197" s="3841"/>
      <c r="R197" s="3841"/>
      <c r="S197" s="3841"/>
      <c r="T197" s="3841"/>
      <c r="U197" s="3841"/>
      <c r="V197" s="3841"/>
      <c r="W197" s="3841"/>
      <c r="X197" s="3819"/>
      <c r="Y197" s="4207" t="s">
        <v>484</v>
      </c>
      <c r="Z197" s="3798"/>
      <c r="AC197" s="2372"/>
    </row>
    <row r="198" spans="1:29" ht="14.25" customHeight="1">
      <c r="A198" s="4205"/>
      <c r="B198" s="3842" t="s">
        <v>22</v>
      </c>
      <c r="C198" s="3817"/>
      <c r="D198" s="3857">
        <f>+D199+D202</f>
        <v>76197455</v>
      </c>
      <c r="E198" s="3857">
        <f t="shared" ref="E198:P198" si="186">+E199+E202</f>
        <v>0</v>
      </c>
      <c r="F198" s="3857">
        <f t="shared" si="186"/>
        <v>0</v>
      </c>
      <c r="G198" s="3857">
        <f t="shared" si="186"/>
        <v>0</v>
      </c>
      <c r="H198" s="3857">
        <f t="shared" si="186"/>
        <v>0</v>
      </c>
      <c r="I198" s="3857">
        <f t="shared" si="186"/>
        <v>0</v>
      </c>
      <c r="J198" s="3857">
        <f t="shared" si="186"/>
        <v>0</v>
      </c>
      <c r="K198" s="3857">
        <f t="shared" si="186"/>
        <v>0</v>
      </c>
      <c r="L198" s="3857">
        <f t="shared" si="186"/>
        <v>0</v>
      </c>
      <c r="M198" s="3857">
        <f t="shared" ref="M198" si="187">+M199+M202</f>
        <v>0</v>
      </c>
      <c r="N198" s="3857">
        <f t="shared" si="186"/>
        <v>0</v>
      </c>
      <c r="O198" s="3857">
        <f t="shared" si="186"/>
        <v>305194</v>
      </c>
      <c r="P198" s="3857">
        <f t="shared" si="186"/>
        <v>9786275</v>
      </c>
      <c r="Q198" s="3857">
        <f>+Q199+Q202</f>
        <v>9798728</v>
      </c>
      <c r="R198" s="3857">
        <f t="shared" ref="R198:T198" si="188">+R199+R202</f>
        <v>9786275</v>
      </c>
      <c r="S198" s="3857">
        <f t="shared" si="188"/>
        <v>9681275</v>
      </c>
      <c r="T198" s="3857">
        <f t="shared" si="188"/>
        <v>9701275</v>
      </c>
      <c r="U198" s="3857">
        <f t="shared" ref="U198:W198" si="189">+U199+U202</f>
        <v>9597275</v>
      </c>
      <c r="V198" s="3857">
        <f t="shared" si="189"/>
        <v>8877275</v>
      </c>
      <c r="W198" s="3857">
        <f t="shared" si="189"/>
        <v>8663883</v>
      </c>
      <c r="X198" s="3844">
        <f>+X199+X202</f>
        <v>75892261</v>
      </c>
      <c r="Y198" s="4207"/>
      <c r="Z198" s="3812">
        <f>+O198+P198+Q198+R198</f>
        <v>29676472</v>
      </c>
      <c r="AA198" s="2358"/>
      <c r="AB198" s="2358"/>
      <c r="AC198" s="2358"/>
    </row>
    <row r="199" spans="1:29" ht="14.25" customHeight="1">
      <c r="A199" s="4205"/>
      <c r="B199" s="3858" t="s">
        <v>36</v>
      </c>
      <c r="C199" s="4209" t="s">
        <v>167</v>
      </c>
      <c r="D199" s="3847">
        <f t="shared" ref="D199:P199" si="190">+D200+D201</f>
        <v>11429618</v>
      </c>
      <c r="E199" s="3847">
        <f t="shared" si="190"/>
        <v>0</v>
      </c>
      <c r="F199" s="3847">
        <f t="shared" si="190"/>
        <v>0</v>
      </c>
      <c r="G199" s="3847">
        <f t="shared" si="190"/>
        <v>0</v>
      </c>
      <c r="H199" s="3847">
        <f t="shared" si="190"/>
        <v>0</v>
      </c>
      <c r="I199" s="3847">
        <f t="shared" si="190"/>
        <v>0</v>
      </c>
      <c r="J199" s="3847">
        <f t="shared" si="190"/>
        <v>0</v>
      </c>
      <c r="K199" s="3847">
        <f t="shared" si="190"/>
        <v>0</v>
      </c>
      <c r="L199" s="3847">
        <f t="shared" si="190"/>
        <v>0</v>
      </c>
      <c r="M199" s="3847">
        <f t="shared" ref="M199" si="191">+M200+M201</f>
        <v>0</v>
      </c>
      <c r="N199" s="3847">
        <f t="shared" si="190"/>
        <v>0</v>
      </c>
      <c r="O199" s="3847">
        <f t="shared" si="190"/>
        <v>45779</v>
      </c>
      <c r="P199" s="3874">
        <f t="shared" si="190"/>
        <v>1467941</v>
      </c>
      <c r="Q199" s="3847">
        <f>+Q200+Q201</f>
        <v>1469809</v>
      </c>
      <c r="R199" s="3847">
        <f t="shared" ref="R199:T199" si="192">+R200+R201</f>
        <v>1467941</v>
      </c>
      <c r="S199" s="3847">
        <f t="shared" si="192"/>
        <v>1452191</v>
      </c>
      <c r="T199" s="3847">
        <f t="shared" si="192"/>
        <v>1455191</v>
      </c>
      <c r="U199" s="3847">
        <f t="shared" ref="U199:W199" si="193">+U200+U201</f>
        <v>1439591</v>
      </c>
      <c r="V199" s="3847">
        <f t="shared" si="193"/>
        <v>1331592</v>
      </c>
      <c r="W199" s="3847">
        <f t="shared" si="193"/>
        <v>1299583</v>
      </c>
      <c r="X199" s="3860">
        <f>+X200+X201</f>
        <v>11383839</v>
      </c>
      <c r="Y199" s="4207"/>
      <c r="Z199" s="3798"/>
    </row>
    <row r="200" spans="1:29" ht="13.5" customHeight="1">
      <c r="A200" s="4205"/>
      <c r="B200" s="3850" t="s">
        <v>24</v>
      </c>
      <c r="C200" s="4210"/>
      <c r="D200" s="3851">
        <f>M200+O200+P200+Q200+R200+S200+T200+U200+V200+W200</f>
        <v>11429618</v>
      </c>
      <c r="E200" s="3852">
        <f>+F200+G200+H200</f>
        <v>0</v>
      </c>
      <c r="F200" s="3852"/>
      <c r="G200" s="3852"/>
      <c r="H200" s="3859"/>
      <c r="I200" s="3859">
        <v>0</v>
      </c>
      <c r="J200" s="3859">
        <v>0</v>
      </c>
      <c r="K200" s="3852">
        <v>0</v>
      </c>
      <c r="L200" s="3852">
        <v>0</v>
      </c>
      <c r="M200" s="3852">
        <f>+L200+K200+J200+I200+E200+N200</f>
        <v>0</v>
      </c>
      <c r="N200" s="3859"/>
      <c r="O200" s="3875">
        <f>47647-1868</f>
        <v>45779</v>
      </c>
      <c r="P200" s="3875">
        <v>1467941</v>
      </c>
      <c r="Q200" s="3875">
        <f>1467941+1868</f>
        <v>1469809</v>
      </c>
      <c r="R200" s="3875">
        <v>1467941</v>
      </c>
      <c r="S200" s="3875">
        <v>1452191</v>
      </c>
      <c r="T200" s="3875">
        <v>1455191</v>
      </c>
      <c r="U200" s="3875">
        <v>1439591</v>
      </c>
      <c r="V200" s="3875">
        <v>1331592</v>
      </c>
      <c r="W200" s="3875">
        <v>1299583</v>
      </c>
      <c r="X200" s="3876">
        <f>+P200+Q200+R200+S200+T200+U200+V200+W200</f>
        <v>11383839</v>
      </c>
      <c r="Y200" s="4207"/>
      <c r="Z200" s="3812">
        <f>+X200-D200</f>
        <v>-45779</v>
      </c>
    </row>
    <row r="201" spans="1:29" ht="13.5" hidden="1" customHeight="1">
      <c r="A201" s="4205"/>
      <c r="B201" s="3850" t="s">
        <v>25</v>
      </c>
      <c r="C201" s="4210"/>
      <c r="D201" s="3851">
        <f>M201+O201+P201+Q201+R201+S201+T201+U201+V201+W201</f>
        <v>0</v>
      </c>
      <c r="E201" s="3852">
        <f>+F201+G201+H201</f>
        <v>0</v>
      </c>
      <c r="F201" s="3852"/>
      <c r="G201" s="3852">
        <v>0</v>
      </c>
      <c r="H201" s="3859"/>
      <c r="I201" s="3859">
        <v>0</v>
      </c>
      <c r="J201" s="3859"/>
      <c r="K201" s="3852"/>
      <c r="L201" s="3852"/>
      <c r="M201" s="3852">
        <f>+L201+K201+J201+I201+E201+N201</f>
        <v>0</v>
      </c>
      <c r="N201" s="3852"/>
      <c r="O201" s="3852"/>
      <c r="P201" s="3852"/>
      <c r="Q201" s="3852"/>
      <c r="R201" s="3852"/>
      <c r="S201" s="3852"/>
      <c r="T201" s="3852"/>
      <c r="U201" s="3852"/>
      <c r="V201" s="3852"/>
      <c r="W201" s="3852"/>
      <c r="X201" s="3853">
        <f>SUM(O201:R201)</f>
        <v>0</v>
      </c>
      <c r="Y201" s="4207"/>
      <c r="Z201" s="3798"/>
    </row>
    <row r="202" spans="1:29" ht="13.5" customHeight="1">
      <c r="A202" s="4205"/>
      <c r="B202" s="3845" t="s">
        <v>30</v>
      </c>
      <c r="C202" s="4210"/>
      <c r="D202" s="3846">
        <f>+D203</f>
        <v>64767837</v>
      </c>
      <c r="E202" s="3846">
        <f t="shared" ref="E202:X202" si="194">+E203</f>
        <v>0</v>
      </c>
      <c r="F202" s="3846">
        <f t="shared" si="194"/>
        <v>0</v>
      </c>
      <c r="G202" s="3846">
        <f t="shared" si="194"/>
        <v>0</v>
      </c>
      <c r="H202" s="3846">
        <f t="shared" si="194"/>
        <v>0</v>
      </c>
      <c r="I202" s="3846">
        <f t="shared" si="194"/>
        <v>0</v>
      </c>
      <c r="J202" s="3846">
        <f t="shared" si="194"/>
        <v>0</v>
      </c>
      <c r="K202" s="3846">
        <f t="shared" si="194"/>
        <v>0</v>
      </c>
      <c r="L202" s="3846">
        <f t="shared" si="194"/>
        <v>0</v>
      </c>
      <c r="M202" s="3846">
        <f t="shared" si="194"/>
        <v>0</v>
      </c>
      <c r="N202" s="3846">
        <f t="shared" si="194"/>
        <v>0</v>
      </c>
      <c r="O202" s="3846">
        <f t="shared" si="194"/>
        <v>259415</v>
      </c>
      <c r="P202" s="3846">
        <f t="shared" si="194"/>
        <v>8318334</v>
      </c>
      <c r="Q202" s="3846">
        <f t="shared" si="194"/>
        <v>8328919</v>
      </c>
      <c r="R202" s="3846">
        <f t="shared" si="194"/>
        <v>8318334</v>
      </c>
      <c r="S202" s="3846">
        <f t="shared" si="194"/>
        <v>8229084</v>
      </c>
      <c r="T202" s="3846">
        <f t="shared" si="194"/>
        <v>8246084</v>
      </c>
      <c r="U202" s="3846">
        <f t="shared" si="194"/>
        <v>8157684</v>
      </c>
      <c r="V202" s="3846">
        <f t="shared" si="194"/>
        <v>7545683</v>
      </c>
      <c r="W202" s="3846">
        <f t="shared" si="194"/>
        <v>7364300</v>
      </c>
      <c r="X202" s="3861">
        <f t="shared" si="194"/>
        <v>64508422</v>
      </c>
      <c r="Y202" s="4207"/>
      <c r="Z202" s="3812">
        <f>+X202-D202</f>
        <v>-259415</v>
      </c>
    </row>
    <row r="203" spans="1:29" ht="13.5" customHeight="1">
      <c r="A203" s="4205"/>
      <c r="B203" s="3850" t="s">
        <v>33</v>
      </c>
      <c r="C203" s="4210"/>
      <c r="D203" s="3851">
        <f>M203+O203+P203+Q203+R203+S203+T203+U203+V203+W203</f>
        <v>64767837</v>
      </c>
      <c r="E203" s="3852">
        <f>+F203+G203+H203</f>
        <v>0</v>
      </c>
      <c r="F203" s="3852"/>
      <c r="G203" s="3852"/>
      <c r="H203" s="3859"/>
      <c r="I203" s="3859">
        <v>0</v>
      </c>
      <c r="J203" s="3859">
        <v>0</v>
      </c>
      <c r="K203" s="3852">
        <v>0</v>
      </c>
      <c r="L203" s="3852">
        <v>0</v>
      </c>
      <c r="M203" s="3852">
        <f>+L203+K203+J203+I203+E203+N203</f>
        <v>0</v>
      </c>
      <c r="N203" s="3852"/>
      <c r="O203" s="3877">
        <f>270000-10585</f>
        <v>259415</v>
      </c>
      <c r="P203" s="3878">
        <v>8318334</v>
      </c>
      <c r="Q203" s="3877">
        <f>8318334+10585</f>
        <v>8328919</v>
      </c>
      <c r="R203" s="3878">
        <v>8318334</v>
      </c>
      <c r="S203" s="3878">
        <v>8229084</v>
      </c>
      <c r="T203" s="3878">
        <v>8246084</v>
      </c>
      <c r="U203" s="3878">
        <v>8157684</v>
      </c>
      <c r="V203" s="3878">
        <v>7545683</v>
      </c>
      <c r="W203" s="3878">
        <v>7364300</v>
      </c>
      <c r="X203" s="3876">
        <f>+P203+Q203+R203+S203+T203+U203+V203+W203</f>
        <v>64508422</v>
      </c>
      <c r="Y203" s="4207"/>
      <c r="Z203" s="3798"/>
    </row>
    <row r="204" spans="1:29" s="2373" customFormat="1" ht="15.75" customHeight="1">
      <c r="A204" s="4205"/>
      <c r="B204" s="3842" t="s">
        <v>34</v>
      </c>
      <c r="C204" s="3817"/>
      <c r="D204" s="3879">
        <f t="shared" ref="D204:L204" si="195">+D205+D207</f>
        <v>64767837</v>
      </c>
      <c r="E204" s="3879">
        <f t="shared" si="195"/>
        <v>0</v>
      </c>
      <c r="F204" s="3879">
        <f t="shared" si="195"/>
        <v>0</v>
      </c>
      <c r="G204" s="3879">
        <f t="shared" si="195"/>
        <v>0</v>
      </c>
      <c r="H204" s="3879">
        <f t="shared" si="195"/>
        <v>0</v>
      </c>
      <c r="I204" s="3879">
        <f t="shared" si="195"/>
        <v>0</v>
      </c>
      <c r="J204" s="3879">
        <f t="shared" si="195"/>
        <v>0</v>
      </c>
      <c r="K204" s="3879">
        <f t="shared" si="195"/>
        <v>0</v>
      </c>
      <c r="L204" s="3879">
        <f t="shared" si="195"/>
        <v>0</v>
      </c>
      <c r="M204" s="3879">
        <f t="shared" ref="M204" si="196">+M205+M207</f>
        <v>0</v>
      </c>
      <c r="N204" s="3879">
        <f>+N205+N207</f>
        <v>0</v>
      </c>
      <c r="O204" s="3879">
        <f>+O205+O207</f>
        <v>0</v>
      </c>
      <c r="P204" s="3879">
        <f>+P205+P207</f>
        <v>8577749</v>
      </c>
      <c r="Q204" s="3879">
        <f>+Q205+Q207</f>
        <v>8328919</v>
      </c>
      <c r="R204" s="3879">
        <f t="shared" ref="R204:W204" si="197">+R205+R207</f>
        <v>8318334</v>
      </c>
      <c r="S204" s="3879">
        <f t="shared" si="197"/>
        <v>8229084</v>
      </c>
      <c r="T204" s="3879">
        <f t="shared" si="197"/>
        <v>8246084</v>
      </c>
      <c r="U204" s="3879">
        <f t="shared" si="197"/>
        <v>8157684</v>
      </c>
      <c r="V204" s="3879">
        <f t="shared" si="197"/>
        <v>7545683</v>
      </c>
      <c r="W204" s="3879">
        <f t="shared" si="197"/>
        <v>7364300</v>
      </c>
      <c r="X204" s="4214" t="s">
        <v>77</v>
      </c>
      <c r="Y204" s="4208"/>
      <c r="Z204" s="3870"/>
    </row>
    <row r="205" spans="1:29" ht="11.25" hidden="1" customHeight="1">
      <c r="A205" s="4205"/>
      <c r="B205" s="3858" t="s">
        <v>36</v>
      </c>
      <c r="C205" s="4215" t="s">
        <v>471</v>
      </c>
      <c r="D205" s="3846">
        <f t="shared" ref="D205:W205" si="198">+D206</f>
        <v>0</v>
      </c>
      <c r="E205" s="3846">
        <f t="shared" si="198"/>
        <v>0</v>
      </c>
      <c r="F205" s="3846">
        <f t="shared" si="198"/>
        <v>0</v>
      </c>
      <c r="G205" s="3846">
        <f t="shared" si="198"/>
        <v>0</v>
      </c>
      <c r="H205" s="3846">
        <f t="shared" si="198"/>
        <v>0</v>
      </c>
      <c r="I205" s="3846">
        <f t="shared" si="198"/>
        <v>0</v>
      </c>
      <c r="J205" s="3846">
        <f t="shared" si="198"/>
        <v>0</v>
      </c>
      <c r="K205" s="3846">
        <f t="shared" si="198"/>
        <v>0</v>
      </c>
      <c r="L205" s="3846">
        <f t="shared" si="198"/>
        <v>0</v>
      </c>
      <c r="M205" s="3846">
        <f t="shared" si="198"/>
        <v>0</v>
      </c>
      <c r="N205" s="3846">
        <f t="shared" si="198"/>
        <v>0</v>
      </c>
      <c r="O205" s="3846">
        <f t="shared" si="198"/>
        <v>0</v>
      </c>
      <c r="P205" s="3846">
        <f t="shared" si="198"/>
        <v>0</v>
      </c>
      <c r="Q205" s="3846">
        <f t="shared" si="198"/>
        <v>0</v>
      </c>
      <c r="R205" s="3846">
        <f t="shared" si="198"/>
        <v>0</v>
      </c>
      <c r="S205" s="3846">
        <f t="shared" si="198"/>
        <v>0</v>
      </c>
      <c r="T205" s="3846">
        <f t="shared" si="198"/>
        <v>0</v>
      </c>
      <c r="U205" s="3846">
        <f t="shared" si="198"/>
        <v>0</v>
      </c>
      <c r="V205" s="3846">
        <f t="shared" si="198"/>
        <v>0</v>
      </c>
      <c r="W205" s="3846">
        <f t="shared" si="198"/>
        <v>0</v>
      </c>
      <c r="X205" s="4214"/>
      <c r="Y205" s="4208"/>
      <c r="Z205" s="3798"/>
    </row>
    <row r="206" spans="1:29" ht="11.25" hidden="1" customHeight="1">
      <c r="A206" s="4205"/>
      <c r="B206" s="3850" t="s">
        <v>25</v>
      </c>
      <c r="C206" s="4215"/>
      <c r="D206" s="3851">
        <f>M206+O206+P206+Q206+R206+S206+T206+U206+V206+W206</f>
        <v>0</v>
      </c>
      <c r="E206" s="3852">
        <f>+F206+G206+H206</f>
        <v>0</v>
      </c>
      <c r="F206" s="3851"/>
      <c r="G206" s="3851"/>
      <c r="H206" s="3851"/>
      <c r="I206" s="3851"/>
      <c r="J206" s="3851"/>
      <c r="K206" s="3851"/>
      <c r="L206" s="3851"/>
      <c r="M206" s="3852">
        <f>+L206+K206+J206+I206+E206+N206</f>
        <v>0</v>
      </c>
      <c r="N206" s="3851"/>
      <c r="O206" s="3851"/>
      <c r="P206" s="3851"/>
      <c r="Q206" s="3851"/>
      <c r="R206" s="3851"/>
      <c r="S206" s="3851"/>
      <c r="T206" s="3851"/>
      <c r="U206" s="3851"/>
      <c r="V206" s="3851"/>
      <c r="W206" s="3851"/>
      <c r="X206" s="4214"/>
      <c r="Y206" s="4208"/>
      <c r="Z206" s="3798"/>
    </row>
    <row r="207" spans="1:29" ht="13.5" customHeight="1">
      <c r="A207" s="4205"/>
      <c r="B207" s="3845" t="s">
        <v>30</v>
      </c>
      <c r="C207" s="4215"/>
      <c r="D207" s="3846">
        <f t="shared" ref="D207:W207" si="199">+D208</f>
        <v>64767837</v>
      </c>
      <c r="E207" s="3846">
        <f t="shared" si="199"/>
        <v>0</v>
      </c>
      <c r="F207" s="3846">
        <f t="shared" si="199"/>
        <v>0</v>
      </c>
      <c r="G207" s="3846">
        <f t="shared" si="199"/>
        <v>0</v>
      </c>
      <c r="H207" s="3846">
        <f t="shared" si="199"/>
        <v>0</v>
      </c>
      <c r="I207" s="3846">
        <f t="shared" si="199"/>
        <v>0</v>
      </c>
      <c r="J207" s="3846">
        <f t="shared" si="199"/>
        <v>0</v>
      </c>
      <c r="K207" s="3846">
        <f t="shared" si="199"/>
        <v>0</v>
      </c>
      <c r="L207" s="3846">
        <f t="shared" si="199"/>
        <v>0</v>
      </c>
      <c r="M207" s="3846">
        <f t="shared" si="199"/>
        <v>0</v>
      </c>
      <c r="N207" s="3846">
        <f t="shared" si="199"/>
        <v>0</v>
      </c>
      <c r="O207" s="3846">
        <f t="shared" si="199"/>
        <v>0</v>
      </c>
      <c r="P207" s="3846">
        <f t="shared" si="199"/>
        <v>8577749</v>
      </c>
      <c r="Q207" s="3846">
        <f t="shared" si="199"/>
        <v>8328919</v>
      </c>
      <c r="R207" s="3846">
        <f t="shared" si="199"/>
        <v>8318334</v>
      </c>
      <c r="S207" s="3846">
        <f t="shared" si="199"/>
        <v>8229084</v>
      </c>
      <c r="T207" s="3846">
        <f t="shared" si="199"/>
        <v>8246084</v>
      </c>
      <c r="U207" s="3846">
        <f t="shared" si="199"/>
        <v>8157684</v>
      </c>
      <c r="V207" s="3846">
        <f t="shared" si="199"/>
        <v>7545683</v>
      </c>
      <c r="W207" s="3846">
        <f t="shared" si="199"/>
        <v>7364300</v>
      </c>
      <c r="X207" s="4214"/>
      <c r="Y207" s="4208"/>
      <c r="Z207" s="3798"/>
    </row>
    <row r="208" spans="1:29" ht="15" customHeight="1">
      <c r="A208" s="4205"/>
      <c r="B208" s="3850" t="s">
        <v>33</v>
      </c>
      <c r="C208" s="4215"/>
      <c r="D208" s="3851">
        <f>M208+O208+P208+Q208+R208+S208+T208+U208+V208+W208</f>
        <v>64767837</v>
      </c>
      <c r="E208" s="3852">
        <f>+F208+G208+H208</f>
        <v>0</v>
      </c>
      <c r="F208" s="3852"/>
      <c r="G208" s="3852"/>
      <c r="H208" s="3852"/>
      <c r="I208" s="3852">
        <v>0</v>
      </c>
      <c r="J208" s="3852">
        <v>0</v>
      </c>
      <c r="K208" s="3852">
        <f>219301-219301</f>
        <v>0</v>
      </c>
      <c r="L208" s="3852">
        <v>0</v>
      </c>
      <c r="M208" s="3852">
        <f>+L208+K208+J208+I208+E208+N208</f>
        <v>0</v>
      </c>
      <c r="N208" s="3852"/>
      <c r="O208" s="3877">
        <f>270000-270000</f>
        <v>0</v>
      </c>
      <c r="P208" s="3878">
        <f>8318334+259415</f>
        <v>8577749</v>
      </c>
      <c r="Q208" s="3878">
        <f>8318334+10585</f>
        <v>8328919</v>
      </c>
      <c r="R208" s="3878">
        <v>8318334</v>
      </c>
      <c r="S208" s="3878">
        <v>8229084</v>
      </c>
      <c r="T208" s="3878">
        <v>8246084</v>
      </c>
      <c r="U208" s="3878">
        <v>8157684</v>
      </c>
      <c r="V208" s="3878">
        <v>7545683</v>
      </c>
      <c r="W208" s="3878">
        <v>7364300</v>
      </c>
      <c r="X208" s="4214"/>
      <c r="Y208" s="4208"/>
      <c r="Z208" s="3798"/>
    </row>
    <row r="209" spans="1:25" ht="11.25" customHeight="1">
      <c r="A209" s="2374"/>
      <c r="B209" s="2375"/>
      <c r="C209" s="2376"/>
      <c r="D209" s="2377"/>
      <c r="E209" s="2378"/>
      <c r="F209" s="2379"/>
      <c r="G209" s="2379"/>
      <c r="H209" s="2379"/>
      <c r="I209" s="2379"/>
      <c r="J209" s="2379"/>
      <c r="K209" s="2379"/>
      <c r="L209" s="2379"/>
      <c r="M209" s="2379"/>
      <c r="N209" s="2379"/>
      <c r="O209" s="2379"/>
      <c r="P209" s="2379"/>
      <c r="Q209" s="2379"/>
      <c r="R209" s="2379"/>
      <c r="S209" s="2379"/>
      <c r="T209" s="2379"/>
      <c r="U209" s="2379"/>
      <c r="V209" s="2379"/>
      <c r="W209" s="2379"/>
      <c r="X209" s="2379"/>
      <c r="Y209" s="2380"/>
    </row>
    <row r="210" spans="1:25" ht="11.25" customHeight="1">
      <c r="A210" s="2381"/>
      <c r="B210" s="2373"/>
      <c r="C210" s="2373"/>
      <c r="D210" s="2373"/>
      <c r="E210" s="2373"/>
      <c r="F210" s="2373"/>
      <c r="G210" s="2373"/>
      <c r="H210" s="2373"/>
      <c r="I210" s="2373"/>
      <c r="J210" s="2373"/>
      <c r="K210" s="2373"/>
      <c r="L210" s="2373"/>
      <c r="M210" s="2373"/>
      <c r="N210" s="2379"/>
      <c r="O210" s="2379"/>
      <c r="P210" s="2379"/>
      <c r="Q210" s="2379"/>
      <c r="R210" s="2379"/>
      <c r="S210" s="2379"/>
      <c r="T210" s="2379"/>
      <c r="U210" s="2379"/>
      <c r="V210" s="2379"/>
      <c r="W210" s="2379"/>
      <c r="X210" s="2379"/>
      <c r="Y210" s="2380"/>
    </row>
    <row r="211" spans="1:25" ht="11.25" customHeight="1">
      <c r="A211" s="2374"/>
      <c r="B211" s="2366" t="s">
        <v>479</v>
      </c>
      <c r="C211" s="2376"/>
      <c r="D211" s="2377">
        <f>D208-O208-P208-Q208-R208-S208-T208</f>
        <v>23067667</v>
      </c>
      <c r="E211" s="2378"/>
      <c r="F211" s="2379"/>
      <c r="G211" s="2379"/>
      <c r="H211" s="2379"/>
      <c r="I211" s="2379"/>
      <c r="J211" s="2379"/>
      <c r="K211" s="2379"/>
      <c r="L211" s="2379"/>
      <c r="M211" s="2379"/>
      <c r="N211" s="2379"/>
      <c r="O211" s="2379"/>
      <c r="P211" s="2379"/>
      <c r="Q211" s="2379"/>
      <c r="R211" s="2379"/>
      <c r="S211" s="2379"/>
      <c r="T211" s="2379"/>
      <c r="U211" s="2379"/>
      <c r="V211" s="2379"/>
      <c r="W211" s="2379"/>
      <c r="X211" s="2379"/>
      <c r="Y211" s="2380"/>
    </row>
    <row r="212" spans="1:25">
      <c r="B212" s="2366" t="s">
        <v>24</v>
      </c>
      <c r="D212" s="2377">
        <f>D200-O200-P200-Q200-R200-S200-T200</f>
        <v>4070766</v>
      </c>
      <c r="X212" s="2382"/>
    </row>
    <row r="213" spans="1:25">
      <c r="D213" s="2358">
        <f>D211+D212</f>
        <v>27138433</v>
      </c>
    </row>
    <row r="216" spans="1:25">
      <c r="D216" s="2358"/>
      <c r="E216" s="2358"/>
    </row>
    <row r="217" spans="1:25">
      <c r="D217" s="2358"/>
      <c r="E217" s="2382"/>
      <c r="F217" s="2382"/>
      <c r="G217" s="2382"/>
      <c r="H217" s="2382"/>
      <c r="I217" s="2382"/>
      <c r="J217" s="2383"/>
      <c r="K217" s="2384"/>
    </row>
    <row r="218" spans="1:25">
      <c r="D218" s="2358"/>
    </row>
    <row r="219" spans="1:25">
      <c r="D219" s="2358"/>
    </row>
  </sheetData>
  <mergeCells count="90">
    <mergeCell ref="A149:A160"/>
    <mergeCell ref="Y149:Y160"/>
    <mergeCell ref="C151:C155"/>
    <mergeCell ref="X156:X160"/>
    <mergeCell ref="C157:C160"/>
    <mergeCell ref="A137:A148"/>
    <mergeCell ref="Y137:Y148"/>
    <mergeCell ref="C139:C143"/>
    <mergeCell ref="C145:C148"/>
    <mergeCell ref="X144:X148"/>
    <mergeCell ref="A3:Y3"/>
    <mergeCell ref="C4:C6"/>
    <mergeCell ref="D4:D6"/>
    <mergeCell ref="Y4:Y6"/>
    <mergeCell ref="X4:X6"/>
    <mergeCell ref="B4:B6"/>
    <mergeCell ref="M4:M5"/>
    <mergeCell ref="O4:O5"/>
    <mergeCell ref="P4:W5"/>
    <mergeCell ref="A4:A6"/>
    <mergeCell ref="X17:X21"/>
    <mergeCell ref="A53:A64"/>
    <mergeCell ref="Y53:Y64"/>
    <mergeCell ref="C55:C59"/>
    <mergeCell ref="C61:C64"/>
    <mergeCell ref="X60:X64"/>
    <mergeCell ref="A41:A52"/>
    <mergeCell ref="Y41:Y52"/>
    <mergeCell ref="C43:C47"/>
    <mergeCell ref="C49:C52"/>
    <mergeCell ref="X48:X52"/>
    <mergeCell ref="A29:A40"/>
    <mergeCell ref="Y29:Y40"/>
    <mergeCell ref="C31:C35"/>
    <mergeCell ref="C37:C40"/>
    <mergeCell ref="X36:X40"/>
    <mergeCell ref="A22:A28"/>
    <mergeCell ref="Y22:Y28"/>
    <mergeCell ref="C24:C25"/>
    <mergeCell ref="C27:C28"/>
    <mergeCell ref="A77:A88"/>
    <mergeCell ref="Y77:Y88"/>
    <mergeCell ref="C79:C83"/>
    <mergeCell ref="C85:C88"/>
    <mergeCell ref="X84:X88"/>
    <mergeCell ref="A65:A76"/>
    <mergeCell ref="Y65:Y76"/>
    <mergeCell ref="C67:C71"/>
    <mergeCell ref="C73:C76"/>
    <mergeCell ref="X72:X76"/>
    <mergeCell ref="A101:A112"/>
    <mergeCell ref="Y101:Y112"/>
    <mergeCell ref="C103:C107"/>
    <mergeCell ref="C109:C112"/>
    <mergeCell ref="X108:X112"/>
    <mergeCell ref="A89:A100"/>
    <mergeCell ref="Y89:Y100"/>
    <mergeCell ref="C91:C95"/>
    <mergeCell ref="C97:C100"/>
    <mergeCell ref="X96:X100"/>
    <mergeCell ref="A125:A136"/>
    <mergeCell ref="Y125:Y136"/>
    <mergeCell ref="C127:C131"/>
    <mergeCell ref="C133:C136"/>
    <mergeCell ref="X132:X136"/>
    <mergeCell ref="A113:A124"/>
    <mergeCell ref="Y113:Y124"/>
    <mergeCell ref="C115:C119"/>
    <mergeCell ref="C121:C124"/>
    <mergeCell ref="X120:X124"/>
    <mergeCell ref="A173:A184"/>
    <mergeCell ref="Y173:Y184"/>
    <mergeCell ref="C175:C179"/>
    <mergeCell ref="C181:C184"/>
    <mergeCell ref="X180:X184"/>
    <mergeCell ref="A161:A172"/>
    <mergeCell ref="Y161:Y172"/>
    <mergeCell ref="C163:C167"/>
    <mergeCell ref="C169:C172"/>
    <mergeCell ref="X168:X172"/>
    <mergeCell ref="A197:A208"/>
    <mergeCell ref="Y197:Y208"/>
    <mergeCell ref="C199:C203"/>
    <mergeCell ref="X204:X208"/>
    <mergeCell ref="C205:C208"/>
    <mergeCell ref="A185:A196"/>
    <mergeCell ref="Y185:Y196"/>
    <mergeCell ref="C187:C191"/>
    <mergeCell ref="C193:C196"/>
    <mergeCell ref="X192:X196"/>
  </mergeCells>
  <printOptions horizontalCentered="1"/>
  <pageMargins left="0.23622047244094491" right="0.27559055118110237" top="0.51181102362204722" bottom="0.35433070866141736" header="0.19685039370078741" footer="0.15748031496062992"/>
  <pageSetup paperSize="9" scale="60" firstPageNumber="41" orientation="landscape" useFirstPageNumber="1" r:id="rId1"/>
  <headerFooter alignWithMargins="0">
    <oddHeader>&amp;C&amp;"Arial,Kursywa"Wieloletnia prognoza finansowa Województwa Zachodniopomorskiego na lata 2016-2038&amp;"Arial,Normalny"
__________________________________________________________________________________________________________________</oddHeader>
    <oddFooter>&amp;C&amp;P</oddFooter>
  </headerFooter>
  <rowBreaks count="2" manualBreakCount="2">
    <brk id="76" max="24" man="1"/>
    <brk id="210" max="17" man="1"/>
  </row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E1865"/>
  <sheetViews>
    <sheetView showGridLines="0" view="pageBreakPreview" zoomScaleNormal="100" zoomScaleSheetLayoutView="100" workbookViewId="0">
      <pane ySplit="8" topLeftCell="A73" activePane="bottomLeft" state="frozen"/>
      <selection pane="bottomLeft" sqref="A1:XFD1048576"/>
    </sheetView>
  </sheetViews>
  <sheetFormatPr defaultColWidth="9.140625" defaultRowHeight="12.75"/>
  <cols>
    <col min="1" max="1" width="3.7109375" style="3221" customWidth="1"/>
    <col min="2" max="2" width="55.7109375" style="3222" customWidth="1"/>
    <col min="3" max="3" width="10" style="3222" customWidth="1"/>
    <col min="4" max="4" width="12.42578125" style="3222" customWidth="1"/>
    <col min="5" max="5" width="10" style="3552" hidden="1" customWidth="1"/>
    <col min="6" max="6" width="11.5703125" style="3222" hidden="1" customWidth="1"/>
    <col min="7" max="7" width="11.140625" style="3222" hidden="1" customWidth="1"/>
    <col min="8" max="8" width="10.42578125" style="3222" hidden="1" customWidth="1"/>
    <col min="9" max="11" width="10.7109375" style="3222" hidden="1" customWidth="1"/>
    <col min="12" max="12" width="11.85546875" style="3222" hidden="1" customWidth="1"/>
    <col min="13" max="13" width="11.85546875" style="3222" customWidth="1"/>
    <col min="14" max="14" width="13.140625" style="3553" hidden="1" customWidth="1"/>
    <col min="15" max="15" width="10.5703125" style="3222" customWidth="1"/>
    <col min="16" max="16" width="10.7109375" style="3222" customWidth="1"/>
    <col min="17" max="17" width="9.5703125" style="3222" customWidth="1"/>
    <col min="18" max="18" width="9.28515625" style="3222" customWidth="1"/>
    <col min="19" max="19" width="10.28515625" style="3222" customWidth="1"/>
    <col min="20" max="20" width="9.7109375" style="3222" customWidth="1"/>
    <col min="21" max="21" width="9.28515625" style="3222" customWidth="1"/>
    <col min="22" max="22" width="10" style="3222" customWidth="1"/>
    <col min="23" max="23" width="9.7109375" style="3222" customWidth="1"/>
    <col min="24" max="24" width="12.140625" style="3222" customWidth="1"/>
    <col min="25" max="25" width="15.28515625" style="3531" customWidth="1"/>
    <col min="26" max="26" width="11.5703125" style="3228" customWidth="1"/>
    <col min="27" max="27" width="10.140625" style="3228" bestFit="1" customWidth="1"/>
    <col min="28" max="28" width="9.5703125" style="3228" bestFit="1" customWidth="1"/>
    <col min="29" max="29" width="9.140625" style="3228"/>
    <col min="30" max="30" width="10.140625" style="3228" customWidth="1"/>
    <col min="31" max="41" width="9.140625" style="3228"/>
    <col min="42" max="42" width="8.5703125" style="3228" customWidth="1"/>
    <col min="43" max="54" width="9.140625" style="3228"/>
    <col min="55" max="55" width="8.7109375" style="3228" customWidth="1"/>
    <col min="56" max="65" width="9.140625" style="3228"/>
    <col min="66" max="66" width="4.28515625" style="3228" customWidth="1"/>
    <col min="67" max="76" width="9.140625" style="3228"/>
    <col min="77" max="77" width="5" style="3228" customWidth="1"/>
    <col min="78" max="87" width="9.140625" style="3228"/>
    <col min="88" max="88" width="3.85546875" style="3228" customWidth="1"/>
    <col min="89" max="100" width="9.140625" style="3228"/>
    <col min="101" max="101" width="5.28515625" style="3228" customWidth="1"/>
    <col min="102" max="113" width="9.140625" style="3228"/>
    <col min="114" max="114" width="1.5703125" style="3228" customWidth="1"/>
    <col min="115" max="127" width="9.140625" style="3228"/>
    <col min="128" max="128" width="0.7109375" style="3228" customWidth="1"/>
    <col min="129" max="140" width="9.140625" style="3228"/>
    <col min="141" max="141" width="8.28515625" style="3228" customWidth="1"/>
    <col min="142" max="150" width="9.140625" style="3228"/>
    <col min="151" max="151" width="0.28515625" style="3228" customWidth="1"/>
    <col min="152" max="177" width="9.140625" style="3228"/>
    <col min="178" max="178" width="0.7109375" style="3228" customWidth="1"/>
    <col min="179" max="16384" width="9.140625" style="3228"/>
  </cols>
  <sheetData>
    <row r="1" spans="1:28" ht="17.25" customHeight="1">
      <c r="D1" s="3223"/>
      <c r="E1" s="3222"/>
      <c r="N1" s="3222"/>
      <c r="O1" s="3224"/>
      <c r="S1" s="3225" t="s">
        <v>359</v>
      </c>
      <c r="T1" s="3226"/>
      <c r="U1" s="3226"/>
      <c r="V1" s="3226"/>
      <c r="W1" s="3226"/>
      <c r="X1" s="3226"/>
      <c r="Y1" s="3227"/>
    </row>
    <row r="2" spans="1:28" ht="15" hidden="1" customHeight="1">
      <c r="E2" s="3222"/>
      <c r="J2" s="3229"/>
      <c r="N2" s="3230"/>
      <c r="O2" s="3231"/>
      <c r="S2" s="3226"/>
      <c r="T2" s="3226"/>
      <c r="U2" s="3226"/>
      <c r="V2" s="3226"/>
      <c r="W2" s="3226"/>
      <c r="X2" s="3226"/>
      <c r="Y2" s="3227"/>
    </row>
    <row r="3" spans="1:28" ht="15" hidden="1" customHeight="1">
      <c r="D3" s="3223"/>
      <c r="E3" s="3223"/>
      <c r="F3" s="3223"/>
      <c r="G3" s="3223"/>
      <c r="H3" s="3223"/>
      <c r="I3" s="3223"/>
      <c r="J3" s="3223"/>
      <c r="K3" s="3223"/>
      <c r="L3" s="3223"/>
      <c r="M3" s="3223"/>
      <c r="N3" s="3230"/>
      <c r="O3" s="3223"/>
      <c r="P3" s="3223"/>
      <c r="Q3" s="3223"/>
      <c r="R3" s="3223"/>
      <c r="S3" s="3223"/>
      <c r="T3" s="3223"/>
      <c r="U3" s="3223"/>
      <c r="V3" s="3223"/>
      <c r="W3" s="3223"/>
      <c r="X3" s="3223"/>
      <c r="Y3" s="3227"/>
    </row>
    <row r="4" spans="1:28" ht="18" customHeight="1">
      <c r="D4" s="3223"/>
      <c r="E4" s="3222"/>
      <c r="J4" s="3223"/>
      <c r="L4" s="3223"/>
      <c r="M4" s="3223"/>
      <c r="N4" s="3230"/>
      <c r="O4" s="3230"/>
      <c r="P4" s="3230"/>
      <c r="Q4" s="3230"/>
      <c r="R4" s="3230"/>
      <c r="S4" s="3226"/>
      <c r="T4" s="3226"/>
      <c r="U4" s="3226"/>
      <c r="V4" s="3226"/>
      <c r="W4" s="3226"/>
      <c r="X4" s="3226"/>
      <c r="Y4" s="3227"/>
    </row>
    <row r="5" spans="1:28" s="3234" customFormat="1" ht="18.75" thickBot="1">
      <c r="A5" s="4327" t="s">
        <v>412</v>
      </c>
      <c r="B5" s="4327"/>
      <c r="C5" s="4327"/>
      <c r="D5" s="4327"/>
      <c r="E5" s="4327"/>
      <c r="F5" s="4327"/>
      <c r="G5" s="4327"/>
      <c r="H5" s="4327"/>
      <c r="I5" s="4327"/>
      <c r="J5" s="4327"/>
      <c r="K5" s="4327"/>
      <c r="L5" s="4327"/>
      <c r="M5" s="4327"/>
      <c r="N5" s="4327"/>
      <c r="O5" s="3232"/>
      <c r="P5" s="3232"/>
      <c r="Q5" s="3232"/>
      <c r="R5" s="3232"/>
      <c r="S5" s="3233"/>
      <c r="T5" s="3233"/>
      <c r="U5" s="3233"/>
      <c r="V5" s="3233"/>
      <c r="W5" s="3233"/>
      <c r="X5" s="3233"/>
      <c r="Y5" s="3233"/>
    </row>
    <row r="6" spans="1:28" ht="28.5" customHeight="1">
      <c r="A6" s="3235"/>
      <c r="B6" s="3235"/>
      <c r="C6" s="4328" t="s">
        <v>87</v>
      </c>
      <c r="D6" s="4331" t="s">
        <v>88</v>
      </c>
      <c r="E6" s="4334" t="s">
        <v>3</v>
      </c>
      <c r="F6" s="4335"/>
      <c r="G6" s="4335"/>
      <c r="H6" s="4335"/>
      <c r="I6" s="4335"/>
      <c r="J6" s="4335"/>
      <c r="K6" s="4335"/>
      <c r="L6" s="4336"/>
      <c r="M6" s="4340" t="s">
        <v>523</v>
      </c>
      <c r="N6" s="3236"/>
      <c r="O6" s="4319" t="s">
        <v>539</v>
      </c>
      <c r="P6" s="4321" t="s">
        <v>540</v>
      </c>
      <c r="Q6" s="4322"/>
      <c r="R6" s="4322"/>
      <c r="S6" s="4322"/>
      <c r="T6" s="4322"/>
      <c r="U6" s="4322"/>
      <c r="V6" s="4322"/>
      <c r="W6" s="4323"/>
      <c r="X6" s="4312" t="s">
        <v>494</v>
      </c>
      <c r="Y6" s="4309" t="s">
        <v>89</v>
      </c>
    </row>
    <row r="7" spans="1:28" ht="36.75" customHeight="1">
      <c r="A7" s="3237" t="s">
        <v>90</v>
      </c>
      <c r="B7" s="3238" t="s">
        <v>91</v>
      </c>
      <c r="C7" s="4329"/>
      <c r="D7" s="4332"/>
      <c r="E7" s="4337"/>
      <c r="F7" s="4338"/>
      <c r="G7" s="4338"/>
      <c r="H7" s="4338"/>
      <c r="I7" s="4338"/>
      <c r="J7" s="4338"/>
      <c r="K7" s="4338"/>
      <c r="L7" s="4339"/>
      <c r="M7" s="4341"/>
      <c r="N7" s="3239"/>
      <c r="O7" s="4320"/>
      <c r="P7" s="4324"/>
      <c r="Q7" s="4325"/>
      <c r="R7" s="4325"/>
      <c r="S7" s="4325"/>
      <c r="T7" s="4325"/>
      <c r="U7" s="4325"/>
      <c r="V7" s="4325"/>
      <c r="W7" s="4326"/>
      <c r="X7" s="4313"/>
      <c r="Y7" s="4310"/>
    </row>
    <row r="8" spans="1:28" ht="37.5" customHeight="1" thickBot="1">
      <c r="A8" s="3240"/>
      <c r="B8" s="3241"/>
      <c r="C8" s="4330"/>
      <c r="D8" s="4333"/>
      <c r="E8" s="3242" t="s">
        <v>6</v>
      </c>
      <c r="F8" s="3243" t="s">
        <v>7</v>
      </c>
      <c r="G8" s="3243" t="s">
        <v>8</v>
      </c>
      <c r="H8" s="3243" t="s">
        <v>9</v>
      </c>
      <c r="I8" s="3244" t="s">
        <v>10</v>
      </c>
      <c r="J8" s="3244" t="s">
        <v>11</v>
      </c>
      <c r="K8" s="3244" t="s">
        <v>12</v>
      </c>
      <c r="L8" s="3244" t="s">
        <v>13</v>
      </c>
      <c r="M8" s="3245" t="s">
        <v>489</v>
      </c>
      <c r="N8" s="3244" t="s">
        <v>14</v>
      </c>
      <c r="O8" s="3244" t="s">
        <v>15</v>
      </c>
      <c r="P8" s="3244" t="s">
        <v>16</v>
      </c>
      <c r="Q8" s="3244" t="s">
        <v>17</v>
      </c>
      <c r="R8" s="3244" t="s">
        <v>18</v>
      </c>
      <c r="S8" s="3246" t="s">
        <v>376</v>
      </c>
      <c r="T8" s="3246" t="s">
        <v>381</v>
      </c>
      <c r="U8" s="3246" t="s">
        <v>491</v>
      </c>
      <c r="V8" s="3246" t="s">
        <v>492</v>
      </c>
      <c r="W8" s="3247" t="s">
        <v>490</v>
      </c>
      <c r="X8" s="4314"/>
      <c r="Y8" s="4311"/>
    </row>
    <row r="9" spans="1:28" s="3257" customFormat="1" ht="12" customHeight="1" thickBot="1">
      <c r="A9" s="3248">
        <v>1</v>
      </c>
      <c r="B9" s="3249">
        <v>2</v>
      </c>
      <c r="C9" s="3250" t="s">
        <v>148</v>
      </c>
      <c r="D9" s="3251" t="s">
        <v>149</v>
      </c>
      <c r="E9" s="3250" t="s">
        <v>150</v>
      </c>
      <c r="F9" s="3250" t="s">
        <v>151</v>
      </c>
      <c r="G9" s="3250" t="s">
        <v>152</v>
      </c>
      <c r="H9" s="3250" t="s">
        <v>153</v>
      </c>
      <c r="I9" s="3250" t="s">
        <v>151</v>
      </c>
      <c r="J9" s="3250" t="s">
        <v>152</v>
      </c>
      <c r="K9" s="3250" t="s">
        <v>153</v>
      </c>
      <c r="L9" s="3250" t="s">
        <v>154</v>
      </c>
      <c r="M9" s="3252">
        <v>5</v>
      </c>
      <c r="N9" s="3252" t="s">
        <v>493</v>
      </c>
      <c r="O9" s="3252">
        <v>6</v>
      </c>
      <c r="P9" s="3252">
        <v>7</v>
      </c>
      <c r="Q9" s="3252">
        <v>8</v>
      </c>
      <c r="R9" s="3253">
        <v>9</v>
      </c>
      <c r="S9" s="3253">
        <v>10</v>
      </c>
      <c r="T9" s="3253">
        <v>11</v>
      </c>
      <c r="U9" s="3254">
        <v>12</v>
      </c>
      <c r="V9" s="3254">
        <v>13</v>
      </c>
      <c r="W9" s="3254">
        <v>14</v>
      </c>
      <c r="X9" s="3255">
        <v>15</v>
      </c>
      <c r="Y9" s="3256">
        <v>16</v>
      </c>
      <c r="AA9" s="3258"/>
    </row>
    <row r="10" spans="1:28" s="3266" customFormat="1" ht="15.75" customHeight="1">
      <c r="A10" s="3259"/>
      <c r="B10" s="3260" t="s">
        <v>92</v>
      </c>
      <c r="C10" s="3261"/>
      <c r="D10" s="3262">
        <f>+D11+D12</f>
        <v>127856711.64</v>
      </c>
      <c r="E10" s="3262">
        <f t="shared" ref="E10:Q10" si="0">+E11+E12</f>
        <v>2805880</v>
      </c>
      <c r="F10" s="3262">
        <f t="shared" si="0"/>
        <v>0</v>
      </c>
      <c r="G10" s="3262">
        <f t="shared" si="0"/>
        <v>27000</v>
      </c>
      <c r="H10" s="3262">
        <f t="shared" si="0"/>
        <v>3348880.0600000005</v>
      </c>
      <c r="I10" s="3262">
        <f t="shared" si="0"/>
        <v>5513671</v>
      </c>
      <c r="J10" s="3262">
        <f t="shared" si="0"/>
        <v>18798477</v>
      </c>
      <c r="K10" s="3262">
        <f t="shared" si="0"/>
        <v>11401296</v>
      </c>
      <c r="L10" s="3262">
        <f t="shared" si="0"/>
        <v>5348030</v>
      </c>
      <c r="M10" s="3262">
        <f t="shared" si="0"/>
        <v>66362202</v>
      </c>
      <c r="N10" s="3262">
        <f t="shared" si="0"/>
        <v>22494848</v>
      </c>
      <c r="O10" s="3262">
        <f t="shared" si="0"/>
        <v>26201255</v>
      </c>
      <c r="P10" s="3262">
        <f t="shared" si="0"/>
        <v>12311202.640000001</v>
      </c>
      <c r="Q10" s="3262">
        <f t="shared" si="0"/>
        <v>5050955</v>
      </c>
      <c r="R10" s="3262">
        <f>+R11+R12</f>
        <v>5329509</v>
      </c>
      <c r="S10" s="3262">
        <f>+S11+S12</f>
        <v>2261110</v>
      </c>
      <c r="T10" s="3262">
        <f>+T11+T12</f>
        <v>1999047</v>
      </c>
      <c r="U10" s="3262">
        <f t="shared" ref="U10:W10" si="1">+U11+U12</f>
        <v>1999047</v>
      </c>
      <c r="V10" s="3262">
        <f t="shared" si="1"/>
        <v>1859047</v>
      </c>
      <c r="W10" s="3263">
        <f t="shared" si="1"/>
        <v>919047</v>
      </c>
      <c r="X10" s="3264">
        <f>+X11+X12</f>
        <v>35293254.640000001</v>
      </c>
      <c r="Y10" s="3265"/>
      <c r="AA10" s="3267">
        <f>+O10+P10+Q10+R10+S10+T10+2020000+2916667</f>
        <v>58089745.640000001</v>
      </c>
      <c r="AB10" s="3267" t="e">
        <f>#REF!-AA10</f>
        <v>#REF!</v>
      </c>
    </row>
    <row r="11" spans="1:28" s="3266" customFormat="1" ht="15.75" customHeight="1">
      <c r="A11" s="3268"/>
      <c r="B11" s="3269" t="s">
        <v>93</v>
      </c>
      <c r="C11" s="3270"/>
      <c r="D11" s="3271">
        <f t="shared" ref="D11" si="2">+D81+D86+D91+D119+D124+D129</f>
        <v>28619258.640000001</v>
      </c>
      <c r="E11" s="3271">
        <f t="shared" ref="E11:L11" si="3">+E81+E86+E91</f>
        <v>0</v>
      </c>
      <c r="F11" s="3271">
        <f t="shared" si="3"/>
        <v>0</v>
      </c>
      <c r="G11" s="3271">
        <f t="shared" si="3"/>
        <v>0</v>
      </c>
      <c r="H11" s="3271">
        <f t="shared" si="3"/>
        <v>0</v>
      </c>
      <c r="I11" s="3271">
        <f t="shared" si="3"/>
        <v>0</v>
      </c>
      <c r="J11" s="3271">
        <f t="shared" si="3"/>
        <v>0</v>
      </c>
      <c r="K11" s="3271">
        <f t="shared" si="3"/>
        <v>0</v>
      </c>
      <c r="L11" s="3271">
        <f t="shared" si="3"/>
        <v>0</v>
      </c>
      <c r="M11" s="3271">
        <f>+L11+K11+J11+I11</f>
        <v>0</v>
      </c>
      <c r="N11" s="3271">
        <f>+N81+N86+N91</f>
        <v>0</v>
      </c>
      <c r="O11" s="3271">
        <f>+O81+O86+O91+O119+O124+O129</f>
        <v>0</v>
      </c>
      <c r="P11" s="3271">
        <f t="shared" ref="P11:W11" si="4">+P81+P86+P91+P119+P124+P129</f>
        <v>5637206.6399999997</v>
      </c>
      <c r="Q11" s="3271">
        <f t="shared" si="4"/>
        <v>5050955</v>
      </c>
      <c r="R11" s="3271">
        <f t="shared" si="4"/>
        <v>5329509</v>
      </c>
      <c r="S11" s="3271">
        <f t="shared" si="4"/>
        <v>2261110</v>
      </c>
      <c r="T11" s="3271">
        <f t="shared" si="4"/>
        <v>1999047</v>
      </c>
      <c r="U11" s="3271">
        <f t="shared" si="4"/>
        <v>1999047</v>
      </c>
      <c r="V11" s="3271">
        <f t="shared" si="4"/>
        <v>1859047</v>
      </c>
      <c r="W11" s="3272">
        <f t="shared" si="4"/>
        <v>919047</v>
      </c>
      <c r="X11" s="3273">
        <f>+X81+X86+X91+X119+X124+X129</f>
        <v>28619258.640000001</v>
      </c>
      <c r="Y11" s="3274"/>
    </row>
    <row r="12" spans="1:28" s="3266" customFormat="1" ht="15.75" customHeight="1" thickBot="1">
      <c r="A12" s="3268"/>
      <c r="B12" s="3275" t="s">
        <v>21</v>
      </c>
      <c r="C12" s="3276"/>
      <c r="D12" s="3277">
        <f>+D32+D43+D56+D57+D58+D44+D68+D69+D96+D106+D107</f>
        <v>99237453</v>
      </c>
      <c r="E12" s="3277">
        <f t="shared" ref="E12:S12" si="5">+E32+E43+E56+E57+E58+E44+E68+E69+E96+E106+E107</f>
        <v>2805880</v>
      </c>
      <c r="F12" s="3277">
        <f t="shared" si="5"/>
        <v>0</v>
      </c>
      <c r="G12" s="3277">
        <f t="shared" si="5"/>
        <v>27000</v>
      </c>
      <c r="H12" s="3277">
        <f t="shared" si="5"/>
        <v>3348880.0600000005</v>
      </c>
      <c r="I12" s="3277">
        <f t="shared" si="5"/>
        <v>5513671</v>
      </c>
      <c r="J12" s="3277">
        <f t="shared" si="5"/>
        <v>18798477</v>
      </c>
      <c r="K12" s="3277">
        <f t="shared" si="5"/>
        <v>11401296</v>
      </c>
      <c r="L12" s="3277">
        <f t="shared" si="5"/>
        <v>5348030</v>
      </c>
      <c r="M12" s="3277">
        <f t="shared" si="5"/>
        <v>66362202</v>
      </c>
      <c r="N12" s="3277">
        <f t="shared" si="5"/>
        <v>22494848</v>
      </c>
      <c r="O12" s="3277">
        <f t="shared" si="5"/>
        <v>26201255</v>
      </c>
      <c r="P12" s="3277">
        <f t="shared" si="5"/>
        <v>6673996</v>
      </c>
      <c r="Q12" s="3277">
        <f t="shared" si="5"/>
        <v>0</v>
      </c>
      <c r="R12" s="3277">
        <f t="shared" si="5"/>
        <v>0</v>
      </c>
      <c r="S12" s="3277">
        <f t="shared" si="5"/>
        <v>0</v>
      </c>
      <c r="T12" s="3277">
        <f>+T32+T43+T56+T57+T58+T44+T68+T69+T96+T106+T107</f>
        <v>0</v>
      </c>
      <c r="U12" s="3277">
        <f t="shared" ref="U12:W12" si="6">+U32+U43+U56+U57+U58+U44+U68+U69+U96+U106+U107</f>
        <v>0</v>
      </c>
      <c r="V12" s="3277">
        <f t="shared" si="6"/>
        <v>0</v>
      </c>
      <c r="W12" s="3278">
        <f t="shared" si="6"/>
        <v>0</v>
      </c>
      <c r="X12" s="3279">
        <f>+X32+X43+X56+X57+X58+X44+X68+X69+X96+X106+X107</f>
        <v>6673996</v>
      </c>
      <c r="Y12" s="3274"/>
    </row>
    <row r="13" spans="1:28" s="3257" customFormat="1" ht="15" customHeight="1">
      <c r="A13" s="3268"/>
      <c r="B13" s="3280" t="s">
        <v>22</v>
      </c>
      <c r="C13" s="3281"/>
      <c r="D13" s="3282">
        <f>+D14+D20</f>
        <v>268448805.63999999</v>
      </c>
      <c r="E13" s="3283">
        <f t="shared" ref="E13:Q13" si="7">SUM(E14,E20)</f>
        <v>3848353</v>
      </c>
      <c r="F13" s="3283">
        <f t="shared" si="7"/>
        <v>0</v>
      </c>
      <c r="G13" s="3283">
        <f t="shared" si="7"/>
        <v>102454</v>
      </c>
      <c r="H13" s="3283">
        <f t="shared" si="7"/>
        <v>6059759.0600000005</v>
      </c>
      <c r="I13" s="3283">
        <f>SUM(I14,I20)</f>
        <v>22200440</v>
      </c>
      <c r="J13" s="3283">
        <f t="shared" si="7"/>
        <v>30496981</v>
      </c>
      <c r="K13" s="3283">
        <f t="shared" si="7"/>
        <v>16499453</v>
      </c>
      <c r="L13" s="3283">
        <f t="shared" si="7"/>
        <v>31183456</v>
      </c>
      <c r="M13" s="3283">
        <f t="shared" si="7"/>
        <v>151142117</v>
      </c>
      <c r="N13" s="3283">
        <f t="shared" si="7"/>
        <v>46913434</v>
      </c>
      <c r="O13" s="3283">
        <f t="shared" si="7"/>
        <v>61194488</v>
      </c>
      <c r="P13" s="3283">
        <f t="shared" si="7"/>
        <v>33130148.640000001</v>
      </c>
      <c r="Q13" s="3283">
        <f t="shared" si="7"/>
        <v>5050955</v>
      </c>
      <c r="R13" s="3283">
        <f>SUM(R14,R20)</f>
        <v>5329509</v>
      </c>
      <c r="S13" s="3283">
        <f>+S14+S20</f>
        <v>2261110</v>
      </c>
      <c r="T13" s="3283">
        <f t="shared" ref="T13:W13" si="8">SUM(T14,T20)</f>
        <v>1999047</v>
      </c>
      <c r="U13" s="3283">
        <f t="shared" si="8"/>
        <v>1999047</v>
      </c>
      <c r="V13" s="3283">
        <f t="shared" si="8"/>
        <v>1859047</v>
      </c>
      <c r="W13" s="3284">
        <f t="shared" si="8"/>
        <v>919047</v>
      </c>
      <c r="X13" s="3285">
        <f>SUM(X14,X20)</f>
        <v>35100153.640000001</v>
      </c>
      <c r="Y13" s="3286"/>
      <c r="AB13" s="3287"/>
    </row>
    <row r="14" spans="1:28" s="3294" customFormat="1" ht="15" customHeight="1">
      <c r="A14" s="3268"/>
      <c r="B14" s="3288" t="s">
        <v>23</v>
      </c>
      <c r="C14" s="3289"/>
      <c r="D14" s="3290">
        <f>SUM(D15:D19)</f>
        <v>201774769.63999999</v>
      </c>
      <c r="E14" s="3290">
        <f t="shared" ref="E14:Q14" si="9">SUM(E15:E19)</f>
        <v>3848353</v>
      </c>
      <c r="F14" s="3290">
        <f t="shared" si="9"/>
        <v>0</v>
      </c>
      <c r="G14" s="3290">
        <f t="shared" si="9"/>
        <v>102454</v>
      </c>
      <c r="H14" s="3290">
        <f t="shared" si="9"/>
        <v>6059759.0600000005</v>
      </c>
      <c r="I14" s="3290">
        <f t="shared" si="9"/>
        <v>6621685</v>
      </c>
      <c r="J14" s="3290">
        <f t="shared" si="9"/>
        <v>22298156</v>
      </c>
      <c r="K14" s="3290">
        <f>SUM(K15:K19)</f>
        <v>16499453</v>
      </c>
      <c r="L14" s="3290">
        <f t="shared" si="9"/>
        <v>30782980</v>
      </c>
      <c r="M14" s="3290">
        <f t="shared" si="9"/>
        <v>107036594</v>
      </c>
      <c r="N14" s="3290">
        <f t="shared" si="9"/>
        <v>26985967</v>
      </c>
      <c r="O14" s="3290">
        <f t="shared" si="9"/>
        <v>39564337</v>
      </c>
      <c r="P14" s="3290">
        <f t="shared" si="9"/>
        <v>32191786.640000001</v>
      </c>
      <c r="Q14" s="3290">
        <f t="shared" si="9"/>
        <v>5050955</v>
      </c>
      <c r="R14" s="3290">
        <f>SUM(R15:R19)</f>
        <v>5329509</v>
      </c>
      <c r="S14" s="3290">
        <f>+S15+S16+S17+S18+S19</f>
        <v>2261110</v>
      </c>
      <c r="T14" s="3290">
        <f t="shared" ref="T14:W14" si="10">SUM(T15:T19)</f>
        <v>1999047</v>
      </c>
      <c r="U14" s="3290">
        <f t="shared" si="10"/>
        <v>1999047</v>
      </c>
      <c r="V14" s="3290">
        <f t="shared" si="10"/>
        <v>1859047</v>
      </c>
      <c r="W14" s="3291">
        <f t="shared" si="10"/>
        <v>919047</v>
      </c>
      <c r="X14" s="3292">
        <f>SUM(X15:X19)</f>
        <v>35100153.640000001</v>
      </c>
      <c r="Y14" s="3293"/>
      <c r="AA14" s="3295">
        <f>+J14-J16</f>
        <v>18798477</v>
      </c>
    </row>
    <row r="15" spans="1:28" s="3294" customFormat="1" ht="15" customHeight="1">
      <c r="A15" s="3268"/>
      <c r="B15" s="3296" t="s">
        <v>24</v>
      </c>
      <c r="C15" s="3289"/>
      <c r="D15" s="3297">
        <f>+D81+D86+D91+D119+D124+D129</f>
        <v>28619258.640000001</v>
      </c>
      <c r="E15" s="3297">
        <f t="shared" ref="E15:L15" si="11">+E81+E86+E91</f>
        <v>0</v>
      </c>
      <c r="F15" s="3297">
        <f t="shared" si="11"/>
        <v>0</v>
      </c>
      <c r="G15" s="3297">
        <f t="shared" si="11"/>
        <v>0</v>
      </c>
      <c r="H15" s="3297">
        <f t="shared" si="11"/>
        <v>0</v>
      </c>
      <c r="I15" s="3297">
        <f t="shared" si="11"/>
        <v>0</v>
      </c>
      <c r="J15" s="3297">
        <f t="shared" si="11"/>
        <v>0</v>
      </c>
      <c r="K15" s="3297">
        <f t="shared" si="11"/>
        <v>0</v>
      </c>
      <c r="L15" s="3297">
        <f t="shared" si="11"/>
        <v>0</v>
      </c>
      <c r="M15" s="3297">
        <f>+L15+K15+J15+I15+E15</f>
        <v>0</v>
      </c>
      <c r="N15" s="3297">
        <f>+N81+N86+N91</f>
        <v>0</v>
      </c>
      <c r="O15" s="3297">
        <f>+O81+O86+O91+O119+O124+O129</f>
        <v>0</v>
      </c>
      <c r="P15" s="3297">
        <f t="shared" ref="P15:W15" si="12">+P81+P86+P91+P119+P124+P129</f>
        <v>5637206.6399999997</v>
      </c>
      <c r="Q15" s="3297">
        <f t="shared" si="12"/>
        <v>5050955</v>
      </c>
      <c r="R15" s="3297">
        <f t="shared" si="12"/>
        <v>5329509</v>
      </c>
      <c r="S15" s="3297">
        <f t="shared" si="12"/>
        <v>2261110</v>
      </c>
      <c r="T15" s="3297">
        <f t="shared" si="12"/>
        <v>1999047</v>
      </c>
      <c r="U15" s="3297">
        <f t="shared" si="12"/>
        <v>1999047</v>
      </c>
      <c r="V15" s="3297">
        <f t="shared" si="12"/>
        <v>1859047</v>
      </c>
      <c r="W15" s="3298">
        <f t="shared" si="12"/>
        <v>919047</v>
      </c>
      <c r="X15" s="3299">
        <f>+X81+X86+X91+X119+X124+X129</f>
        <v>28619258.640000001</v>
      </c>
      <c r="Y15" s="3293"/>
      <c r="AA15" s="3295"/>
      <c r="AB15" s="3295">
        <f>+D15+D17+D18+D19</f>
        <v>127856711.64</v>
      </c>
    </row>
    <row r="16" spans="1:28" s="3257" customFormat="1" ht="15" customHeight="1">
      <c r="A16" s="3268"/>
      <c r="B16" s="3296" t="s">
        <v>45</v>
      </c>
      <c r="C16" s="3300"/>
      <c r="D16" s="3301">
        <f>+D31+D42+D55+D80+D85+D95+D105+D90+D123</f>
        <v>73918058</v>
      </c>
      <c r="E16" s="3301">
        <f t="shared" ref="E16:L16" si="13">+E31+E42+E55+E68+E80+E85+E95+E105</f>
        <v>1042473</v>
      </c>
      <c r="F16" s="3301">
        <f t="shared" si="13"/>
        <v>0</v>
      </c>
      <c r="G16" s="3301">
        <f t="shared" si="13"/>
        <v>75454</v>
      </c>
      <c r="H16" s="3301">
        <f t="shared" si="13"/>
        <v>2710879</v>
      </c>
      <c r="I16" s="3301">
        <f t="shared" si="13"/>
        <v>1108014</v>
      </c>
      <c r="J16" s="3301">
        <f t="shared" si="13"/>
        <v>3499679</v>
      </c>
      <c r="K16" s="3301">
        <f t="shared" si="13"/>
        <v>5098157</v>
      </c>
      <c r="L16" s="3301">
        <f t="shared" si="13"/>
        <v>25434950</v>
      </c>
      <c r="M16" s="3297">
        <f>+M31+M42+M55+M80+M85+M95+M105+M90+M123</f>
        <v>40674392</v>
      </c>
      <c r="N16" s="3297">
        <f t="shared" ref="N16:T16" si="14">+N31+N42+N55+N80+N85+N95+N105+N90+N123</f>
        <v>4491119</v>
      </c>
      <c r="O16" s="3297">
        <f>+O31+O42+O55+O80+O85+O95+O105+O90+O123</f>
        <v>13363082</v>
      </c>
      <c r="P16" s="3297">
        <f t="shared" si="14"/>
        <v>19880584</v>
      </c>
      <c r="Q16" s="3302">
        <f t="shared" si="14"/>
        <v>0</v>
      </c>
      <c r="R16" s="3302">
        <f t="shared" si="14"/>
        <v>0</v>
      </c>
      <c r="S16" s="3302">
        <f t="shared" si="14"/>
        <v>0</v>
      </c>
      <c r="T16" s="3302">
        <f t="shared" si="14"/>
        <v>0</v>
      </c>
      <c r="U16" s="3302">
        <f t="shared" ref="U16:W16" si="15">+U31+U42+U55+U80+U85+U95+U105+U90+U123</f>
        <v>0</v>
      </c>
      <c r="V16" s="3302">
        <f t="shared" si="15"/>
        <v>0</v>
      </c>
      <c r="W16" s="3303">
        <f t="shared" si="15"/>
        <v>0</v>
      </c>
      <c r="X16" s="3304" t="s">
        <v>77</v>
      </c>
      <c r="Y16" s="3286"/>
      <c r="AA16" s="3287">
        <f>+P16+O16+N16+L16+K16+J16+I16+E16</f>
        <v>73918058</v>
      </c>
      <c r="AB16" s="3287">
        <f>+AB15-D10</f>
        <v>0</v>
      </c>
    </row>
    <row r="17" spans="1:28" s="3257" customFormat="1" ht="15" customHeight="1">
      <c r="A17" s="3268"/>
      <c r="B17" s="3296" t="s">
        <v>175</v>
      </c>
      <c r="C17" s="3300"/>
      <c r="D17" s="3301">
        <f t="shared" ref="D17:L17" si="16">+D43+D56+D68+D96+D32+D106</f>
        <v>46551139</v>
      </c>
      <c r="E17" s="3301">
        <f t="shared" si="16"/>
        <v>2805880</v>
      </c>
      <c r="F17" s="3301">
        <f t="shared" si="16"/>
        <v>0</v>
      </c>
      <c r="G17" s="3301">
        <f t="shared" si="16"/>
        <v>27000</v>
      </c>
      <c r="H17" s="3301">
        <f t="shared" si="16"/>
        <v>3348880.0600000005</v>
      </c>
      <c r="I17" s="3301">
        <f t="shared" si="16"/>
        <v>5513671</v>
      </c>
      <c r="J17" s="3301">
        <f t="shared" si="16"/>
        <v>8588477</v>
      </c>
      <c r="K17" s="3301">
        <f t="shared" si="16"/>
        <v>7491341</v>
      </c>
      <c r="L17" s="3301">
        <f t="shared" si="16"/>
        <v>942693</v>
      </c>
      <c r="M17" s="3301">
        <f t="shared" ref="M17:T17" si="17">+M43+M56+M68+M96+M32+M106</f>
        <v>36262144</v>
      </c>
      <c r="N17" s="3301">
        <f t="shared" si="17"/>
        <v>10920082</v>
      </c>
      <c r="O17" s="3301">
        <f t="shared" si="17"/>
        <v>10095894</v>
      </c>
      <c r="P17" s="3301">
        <f t="shared" si="17"/>
        <v>193101</v>
      </c>
      <c r="Q17" s="3305">
        <f t="shared" si="17"/>
        <v>0</v>
      </c>
      <c r="R17" s="3305">
        <f t="shared" si="17"/>
        <v>0</v>
      </c>
      <c r="S17" s="3305">
        <f t="shared" si="17"/>
        <v>0</v>
      </c>
      <c r="T17" s="3305">
        <f t="shared" si="17"/>
        <v>0</v>
      </c>
      <c r="U17" s="3305">
        <f t="shared" ref="U17:W17" si="18">+U43+U56+U68+U96+U32+U106</f>
        <v>0</v>
      </c>
      <c r="V17" s="3305">
        <f t="shared" si="18"/>
        <v>0</v>
      </c>
      <c r="W17" s="3306">
        <f t="shared" si="18"/>
        <v>0</v>
      </c>
      <c r="X17" s="3307"/>
      <c r="Y17" s="3308"/>
      <c r="AA17" s="3287">
        <f>+P17+O17+N17+L17+K17+J17+I17+E17</f>
        <v>46551139</v>
      </c>
      <c r="AB17" s="3287">
        <f>+AA17-D17</f>
        <v>0</v>
      </c>
    </row>
    <row r="18" spans="1:28" s="3294" customFormat="1" ht="15" customHeight="1">
      <c r="A18" s="3309"/>
      <c r="B18" s="3310" t="s">
        <v>25</v>
      </c>
      <c r="C18" s="3300"/>
      <c r="D18" s="3311">
        <f>D57+D44+D69+D107</f>
        <v>46486314</v>
      </c>
      <c r="E18" s="3311">
        <f t="shared" ref="E18:T18" si="19">E57+E44+E69</f>
        <v>0</v>
      </c>
      <c r="F18" s="3311">
        <f t="shared" si="19"/>
        <v>0</v>
      </c>
      <c r="G18" s="3311">
        <f t="shared" si="19"/>
        <v>0</v>
      </c>
      <c r="H18" s="3311">
        <f t="shared" si="19"/>
        <v>0</v>
      </c>
      <c r="I18" s="3311">
        <f t="shared" si="19"/>
        <v>0</v>
      </c>
      <c r="J18" s="3311">
        <f t="shared" si="19"/>
        <v>8065000</v>
      </c>
      <c r="K18" s="3311">
        <f t="shared" si="19"/>
        <v>1854955</v>
      </c>
      <c r="L18" s="3311">
        <f t="shared" si="19"/>
        <v>3882193</v>
      </c>
      <c r="M18" s="3311">
        <f>M57+M44+M69+M107</f>
        <v>23900058</v>
      </c>
      <c r="N18" s="3311">
        <f t="shared" si="19"/>
        <v>10097910</v>
      </c>
      <c r="O18" s="3311">
        <f>O57+O44+O69+O107</f>
        <v>16105361</v>
      </c>
      <c r="P18" s="3311">
        <f t="shared" ref="P18:Q18" si="20">P57+P44+P69+P107</f>
        <v>6480895</v>
      </c>
      <c r="Q18" s="3312">
        <f t="shared" si="20"/>
        <v>0</v>
      </c>
      <c r="R18" s="3312">
        <f t="shared" si="19"/>
        <v>0</v>
      </c>
      <c r="S18" s="3312">
        <f t="shared" si="19"/>
        <v>0</v>
      </c>
      <c r="T18" s="3312">
        <f t="shared" si="19"/>
        <v>0</v>
      </c>
      <c r="U18" s="3312">
        <f t="shared" ref="U18:W18" si="21">U57+U44+U69</f>
        <v>0</v>
      </c>
      <c r="V18" s="3312">
        <f t="shared" si="21"/>
        <v>0</v>
      </c>
      <c r="W18" s="3313">
        <f t="shared" si="21"/>
        <v>0</v>
      </c>
      <c r="X18" s="3314">
        <f>X57+X44+X69+X107</f>
        <v>6480895</v>
      </c>
      <c r="Y18" s="3315"/>
      <c r="AA18" s="3295">
        <f>+P18+O18+N18+L18+K18+J18+I18+E18</f>
        <v>46486314</v>
      </c>
    </row>
    <row r="19" spans="1:28" s="3257" customFormat="1" ht="15" customHeight="1">
      <c r="A19" s="3268"/>
      <c r="B19" s="3310" t="s">
        <v>176</v>
      </c>
      <c r="C19" s="3300"/>
      <c r="D19" s="3311">
        <f t="shared" ref="D19:T19" si="22">D58</f>
        <v>6200000</v>
      </c>
      <c r="E19" s="3311">
        <f t="shared" si="22"/>
        <v>0</v>
      </c>
      <c r="F19" s="3311">
        <f t="shared" si="22"/>
        <v>0</v>
      </c>
      <c r="G19" s="3311">
        <f t="shared" si="22"/>
        <v>0</v>
      </c>
      <c r="H19" s="3311">
        <f t="shared" si="22"/>
        <v>0</v>
      </c>
      <c r="I19" s="3311">
        <f t="shared" si="22"/>
        <v>0</v>
      </c>
      <c r="J19" s="3311">
        <f t="shared" si="22"/>
        <v>2145000</v>
      </c>
      <c r="K19" s="3311">
        <f t="shared" si="22"/>
        <v>2055000</v>
      </c>
      <c r="L19" s="3311">
        <f t="shared" si="22"/>
        <v>523144</v>
      </c>
      <c r="M19" s="3311">
        <f t="shared" si="22"/>
        <v>6200000</v>
      </c>
      <c r="N19" s="3311">
        <f>N58</f>
        <v>1476856</v>
      </c>
      <c r="O19" s="3311">
        <f t="shared" si="22"/>
        <v>0</v>
      </c>
      <c r="P19" s="3311">
        <f t="shared" si="22"/>
        <v>0</v>
      </c>
      <c r="Q19" s="3312">
        <f t="shared" si="22"/>
        <v>0</v>
      </c>
      <c r="R19" s="3312">
        <f t="shared" si="22"/>
        <v>0</v>
      </c>
      <c r="S19" s="3312">
        <f t="shared" si="22"/>
        <v>0</v>
      </c>
      <c r="T19" s="3312">
        <f t="shared" si="22"/>
        <v>0</v>
      </c>
      <c r="U19" s="3312">
        <f t="shared" ref="U19:W19" si="23">U58</f>
        <v>0</v>
      </c>
      <c r="V19" s="3312">
        <f t="shared" si="23"/>
        <v>0</v>
      </c>
      <c r="W19" s="3313">
        <f t="shared" si="23"/>
        <v>0</v>
      </c>
      <c r="X19" s="3307">
        <f>X58</f>
        <v>0</v>
      </c>
      <c r="Y19" s="3308"/>
      <c r="AA19" s="3287">
        <f>+P19+O19+N19+L19+K19+J19+I19+E19</f>
        <v>6200000</v>
      </c>
    </row>
    <row r="20" spans="1:28" s="3294" customFormat="1" ht="15" customHeight="1">
      <c r="A20" s="3316"/>
      <c r="B20" s="3317" t="s">
        <v>30</v>
      </c>
      <c r="C20" s="3318"/>
      <c r="D20" s="3319">
        <f t="shared" ref="D20:W20" si="24">SUM(D21:D21)</f>
        <v>66674036</v>
      </c>
      <c r="E20" s="3319">
        <f t="shared" si="24"/>
        <v>0</v>
      </c>
      <c r="F20" s="3319">
        <f t="shared" si="24"/>
        <v>0</v>
      </c>
      <c r="G20" s="3319">
        <f t="shared" si="24"/>
        <v>0</v>
      </c>
      <c r="H20" s="3319">
        <f t="shared" si="24"/>
        <v>0</v>
      </c>
      <c r="I20" s="3319">
        <f t="shared" si="24"/>
        <v>15578755</v>
      </c>
      <c r="J20" s="3319">
        <f t="shared" si="24"/>
        <v>8198825</v>
      </c>
      <c r="K20" s="3319">
        <f t="shared" si="24"/>
        <v>0</v>
      </c>
      <c r="L20" s="3319">
        <f t="shared" si="24"/>
        <v>400476</v>
      </c>
      <c r="M20" s="3319">
        <f t="shared" si="24"/>
        <v>44105523</v>
      </c>
      <c r="N20" s="3319">
        <f t="shared" si="24"/>
        <v>19927467</v>
      </c>
      <c r="O20" s="3319">
        <f t="shared" si="24"/>
        <v>21630151</v>
      </c>
      <c r="P20" s="3319">
        <f t="shared" si="24"/>
        <v>938362</v>
      </c>
      <c r="Q20" s="3320">
        <f t="shared" si="24"/>
        <v>0</v>
      </c>
      <c r="R20" s="3320">
        <f t="shared" si="24"/>
        <v>0</v>
      </c>
      <c r="S20" s="3320">
        <f t="shared" si="24"/>
        <v>0</v>
      </c>
      <c r="T20" s="3320">
        <f t="shared" si="24"/>
        <v>0</v>
      </c>
      <c r="U20" s="3320">
        <f t="shared" si="24"/>
        <v>0</v>
      </c>
      <c r="V20" s="3320">
        <f t="shared" si="24"/>
        <v>0</v>
      </c>
      <c r="W20" s="3321">
        <f t="shared" si="24"/>
        <v>0</v>
      </c>
      <c r="X20" s="3304" t="s">
        <v>77</v>
      </c>
      <c r="Y20" s="3293"/>
    </row>
    <row r="21" spans="1:28" s="3257" customFormat="1" ht="15" customHeight="1">
      <c r="A21" s="3322"/>
      <c r="B21" s="3323" t="s">
        <v>48</v>
      </c>
      <c r="C21" s="3324"/>
      <c r="D21" s="3325">
        <f>+D46+D71+D33+D98+D109</f>
        <v>66674036</v>
      </c>
      <c r="E21" s="3325">
        <f t="shared" ref="E21:T21" si="25">+E46+E71+E33+E98+E109</f>
        <v>0</v>
      </c>
      <c r="F21" s="3325">
        <f t="shared" si="25"/>
        <v>0</v>
      </c>
      <c r="G21" s="3325">
        <f t="shared" si="25"/>
        <v>0</v>
      </c>
      <c r="H21" s="3325">
        <f t="shared" si="25"/>
        <v>0</v>
      </c>
      <c r="I21" s="3325">
        <f t="shared" si="25"/>
        <v>15578755</v>
      </c>
      <c r="J21" s="3325">
        <f t="shared" si="25"/>
        <v>8198825</v>
      </c>
      <c r="K21" s="3325">
        <f t="shared" si="25"/>
        <v>0</v>
      </c>
      <c r="L21" s="3325">
        <f t="shared" si="25"/>
        <v>400476</v>
      </c>
      <c r="M21" s="3325">
        <f t="shared" si="25"/>
        <v>44105523</v>
      </c>
      <c r="N21" s="3325">
        <f t="shared" si="25"/>
        <v>19927467</v>
      </c>
      <c r="O21" s="3325">
        <f t="shared" si="25"/>
        <v>21630151</v>
      </c>
      <c r="P21" s="3325">
        <f t="shared" si="25"/>
        <v>938362</v>
      </c>
      <c r="Q21" s="3326">
        <f t="shared" si="25"/>
        <v>0</v>
      </c>
      <c r="R21" s="3326">
        <f t="shared" si="25"/>
        <v>0</v>
      </c>
      <c r="S21" s="3326">
        <f t="shared" si="25"/>
        <v>0</v>
      </c>
      <c r="T21" s="3326">
        <f t="shared" si="25"/>
        <v>0</v>
      </c>
      <c r="U21" s="3326">
        <f t="shared" ref="U21:W21" si="26">+U46+U71+U33+U98+U109</f>
        <v>0</v>
      </c>
      <c r="V21" s="3326">
        <f t="shared" si="26"/>
        <v>0</v>
      </c>
      <c r="W21" s="3327">
        <f t="shared" si="26"/>
        <v>0</v>
      </c>
      <c r="X21" s="3304" t="s">
        <v>77</v>
      </c>
      <c r="Y21" s="3328"/>
    </row>
    <row r="22" spans="1:28" s="3257" customFormat="1" ht="15" customHeight="1">
      <c r="A22" s="3322"/>
      <c r="B22" s="3329" t="s">
        <v>34</v>
      </c>
      <c r="C22" s="3330"/>
      <c r="D22" s="3331">
        <f>+D23+D26</f>
        <v>119360350</v>
      </c>
      <c r="E22" s="3331">
        <f t="shared" ref="E22:T22" si="27">+E23+E26</f>
        <v>0</v>
      </c>
      <c r="F22" s="3331">
        <f t="shared" si="27"/>
        <v>0</v>
      </c>
      <c r="G22" s="3331">
        <f t="shared" si="27"/>
        <v>0</v>
      </c>
      <c r="H22" s="3331">
        <f t="shared" si="27"/>
        <v>0</v>
      </c>
      <c r="I22" s="3331">
        <f t="shared" si="27"/>
        <v>15578755</v>
      </c>
      <c r="J22" s="3331">
        <f t="shared" si="27"/>
        <v>18408825</v>
      </c>
      <c r="K22" s="3331">
        <f t="shared" si="27"/>
        <v>3909955</v>
      </c>
      <c r="L22" s="3331">
        <f t="shared" si="27"/>
        <v>4805813</v>
      </c>
      <c r="M22" s="3331">
        <f t="shared" si="27"/>
        <v>74205581</v>
      </c>
      <c r="N22" s="3331">
        <f t="shared" si="27"/>
        <v>31502233</v>
      </c>
      <c r="O22" s="3331">
        <f t="shared" si="27"/>
        <v>37735512</v>
      </c>
      <c r="P22" s="3331">
        <f t="shared" si="27"/>
        <v>7419257</v>
      </c>
      <c r="Q22" s="3332">
        <f t="shared" si="27"/>
        <v>0</v>
      </c>
      <c r="R22" s="3332">
        <f t="shared" si="27"/>
        <v>0</v>
      </c>
      <c r="S22" s="3332">
        <f t="shared" si="27"/>
        <v>0</v>
      </c>
      <c r="T22" s="3332">
        <f t="shared" si="27"/>
        <v>0</v>
      </c>
      <c r="U22" s="3332">
        <f t="shared" ref="U22:W22" si="28">+U23+U26</f>
        <v>0</v>
      </c>
      <c r="V22" s="3332">
        <f t="shared" si="28"/>
        <v>0</v>
      </c>
      <c r="W22" s="3333">
        <f t="shared" si="28"/>
        <v>0</v>
      </c>
      <c r="X22" s="4268" t="s">
        <v>35</v>
      </c>
      <c r="Y22" s="3328"/>
    </row>
    <row r="23" spans="1:28" s="3257" customFormat="1" ht="15" customHeight="1">
      <c r="A23" s="3322"/>
      <c r="B23" s="3317" t="s">
        <v>23</v>
      </c>
      <c r="C23" s="3318"/>
      <c r="D23" s="3319">
        <f>+D24+D25</f>
        <v>52686314</v>
      </c>
      <c r="E23" s="3319">
        <f t="shared" ref="E23:T23" si="29">+E24+E25</f>
        <v>0</v>
      </c>
      <c r="F23" s="3319">
        <f t="shared" si="29"/>
        <v>0</v>
      </c>
      <c r="G23" s="3319">
        <f t="shared" si="29"/>
        <v>0</v>
      </c>
      <c r="H23" s="3319">
        <f t="shared" si="29"/>
        <v>0</v>
      </c>
      <c r="I23" s="3319">
        <f t="shared" si="29"/>
        <v>0</v>
      </c>
      <c r="J23" s="3319">
        <f t="shared" si="29"/>
        <v>10210000</v>
      </c>
      <c r="K23" s="3319">
        <f t="shared" si="29"/>
        <v>3909955</v>
      </c>
      <c r="L23" s="3319">
        <f t="shared" si="29"/>
        <v>4405337</v>
      </c>
      <c r="M23" s="3319">
        <f t="shared" si="29"/>
        <v>30100058</v>
      </c>
      <c r="N23" s="3319">
        <f t="shared" si="29"/>
        <v>11574766</v>
      </c>
      <c r="O23" s="3319">
        <f t="shared" si="29"/>
        <v>16105361</v>
      </c>
      <c r="P23" s="3319">
        <f t="shared" si="29"/>
        <v>6480895</v>
      </c>
      <c r="Q23" s="3320">
        <f t="shared" si="29"/>
        <v>0</v>
      </c>
      <c r="R23" s="3320">
        <f t="shared" si="29"/>
        <v>0</v>
      </c>
      <c r="S23" s="3320">
        <f t="shared" si="29"/>
        <v>0</v>
      </c>
      <c r="T23" s="3320">
        <f t="shared" si="29"/>
        <v>0</v>
      </c>
      <c r="U23" s="3320">
        <f t="shared" ref="U23:W23" si="30">+U24+U25</f>
        <v>0</v>
      </c>
      <c r="V23" s="3320">
        <f t="shared" si="30"/>
        <v>0</v>
      </c>
      <c r="W23" s="3321">
        <f t="shared" si="30"/>
        <v>0</v>
      </c>
      <c r="X23" s="4269"/>
      <c r="Y23" s="3328"/>
    </row>
    <row r="24" spans="1:28" s="3257" customFormat="1" ht="15" customHeight="1">
      <c r="A24" s="3322"/>
      <c r="B24" s="3310" t="s">
        <v>25</v>
      </c>
      <c r="C24" s="3300"/>
      <c r="D24" s="3311">
        <f>D63+D49+D74+D112</f>
        <v>46486314</v>
      </c>
      <c r="E24" s="3311">
        <f>E63+E49+E74</f>
        <v>0</v>
      </c>
      <c r="F24" s="3311">
        <f>F63+F49</f>
        <v>0</v>
      </c>
      <c r="G24" s="3311">
        <f>G63+G49</f>
        <v>0</v>
      </c>
      <c r="H24" s="3311">
        <f>H63+H49</f>
        <v>0</v>
      </c>
      <c r="I24" s="3311">
        <f>I63+I49+I74</f>
        <v>0</v>
      </c>
      <c r="J24" s="3311">
        <f>J63+J49+J74</f>
        <v>8065000</v>
      </c>
      <c r="K24" s="3311">
        <f>K63+K49+K74</f>
        <v>1854955</v>
      </c>
      <c r="L24" s="3311">
        <f>L63+L49+L74</f>
        <v>3882193</v>
      </c>
      <c r="M24" s="3311">
        <f>M63+M49+M74+M107</f>
        <v>23900058</v>
      </c>
      <c r="N24" s="3311">
        <f t="shared" ref="N24:T24" si="31">N63+N49+N74</f>
        <v>10097910</v>
      </c>
      <c r="O24" s="3311">
        <f>O63+O49+O74+O107</f>
        <v>16105361</v>
      </c>
      <c r="P24" s="3311">
        <f>P63+P49+P74+P107</f>
        <v>6480895</v>
      </c>
      <c r="Q24" s="3312">
        <f t="shared" si="31"/>
        <v>0</v>
      </c>
      <c r="R24" s="3312">
        <f t="shared" si="31"/>
        <v>0</v>
      </c>
      <c r="S24" s="3312">
        <f t="shared" si="31"/>
        <v>0</v>
      </c>
      <c r="T24" s="3312">
        <f t="shared" si="31"/>
        <v>0</v>
      </c>
      <c r="U24" s="3312">
        <f t="shared" ref="U24:W24" si="32">U63+U49+U74</f>
        <v>0</v>
      </c>
      <c r="V24" s="3305">
        <f t="shared" si="32"/>
        <v>0</v>
      </c>
      <c r="W24" s="3334">
        <f t="shared" si="32"/>
        <v>0</v>
      </c>
      <c r="X24" s="4269"/>
      <c r="Y24" s="3328"/>
      <c r="AA24" s="3287">
        <f>+P24+O24+N24+L24+K24+J24+I24+E24</f>
        <v>46486314</v>
      </c>
    </row>
    <row r="25" spans="1:28" s="3257" customFormat="1" ht="15" customHeight="1">
      <c r="A25" s="3322"/>
      <c r="B25" s="3310" t="s">
        <v>360</v>
      </c>
      <c r="C25" s="3300"/>
      <c r="D25" s="3311">
        <f t="shared" ref="D25:T25" si="33">D64</f>
        <v>6200000</v>
      </c>
      <c r="E25" s="3311">
        <f t="shared" si="33"/>
        <v>0</v>
      </c>
      <c r="F25" s="3311">
        <f t="shared" si="33"/>
        <v>0</v>
      </c>
      <c r="G25" s="3311">
        <f t="shared" si="33"/>
        <v>0</v>
      </c>
      <c r="H25" s="3311">
        <f t="shared" si="33"/>
        <v>0</v>
      </c>
      <c r="I25" s="3311">
        <f t="shared" si="33"/>
        <v>0</v>
      </c>
      <c r="J25" s="3311">
        <f t="shared" si="33"/>
        <v>2145000</v>
      </c>
      <c r="K25" s="3311">
        <f t="shared" si="33"/>
        <v>2055000</v>
      </c>
      <c r="L25" s="3311">
        <f t="shared" si="33"/>
        <v>523144</v>
      </c>
      <c r="M25" s="3311">
        <f t="shared" ref="M25" si="34">M64</f>
        <v>6200000</v>
      </c>
      <c r="N25" s="3311">
        <f t="shared" si="33"/>
        <v>1476856</v>
      </c>
      <c r="O25" s="3311">
        <f t="shared" si="33"/>
        <v>0</v>
      </c>
      <c r="P25" s="3311">
        <f t="shared" si="33"/>
        <v>0</v>
      </c>
      <c r="Q25" s="3312">
        <f t="shared" si="33"/>
        <v>0</v>
      </c>
      <c r="R25" s="3312">
        <f t="shared" si="33"/>
        <v>0</v>
      </c>
      <c r="S25" s="3312">
        <f t="shared" si="33"/>
        <v>0</v>
      </c>
      <c r="T25" s="3312">
        <f t="shared" si="33"/>
        <v>0</v>
      </c>
      <c r="U25" s="3305">
        <f t="shared" ref="U25:W25" si="35">U64</f>
        <v>0</v>
      </c>
      <c r="V25" s="3312">
        <f t="shared" si="35"/>
        <v>0</v>
      </c>
      <c r="W25" s="3334">
        <f t="shared" si="35"/>
        <v>0</v>
      </c>
      <c r="X25" s="4269"/>
      <c r="Y25" s="3328"/>
      <c r="AA25" s="3287">
        <f>+P25+O25+N25+L25+K25+J25+I25+E25</f>
        <v>6200000</v>
      </c>
    </row>
    <row r="26" spans="1:28" s="3257" customFormat="1" ht="15" customHeight="1">
      <c r="A26" s="3322"/>
      <c r="B26" s="3317" t="s">
        <v>30</v>
      </c>
      <c r="C26" s="3318"/>
      <c r="D26" s="3319">
        <f t="shared" ref="D26:W26" si="36">SUM(D27:D27)</f>
        <v>66674036</v>
      </c>
      <c r="E26" s="3319">
        <f t="shared" si="36"/>
        <v>0</v>
      </c>
      <c r="F26" s="3319">
        <f t="shared" si="36"/>
        <v>0</v>
      </c>
      <c r="G26" s="3319">
        <f t="shared" si="36"/>
        <v>0</v>
      </c>
      <c r="H26" s="3319">
        <f t="shared" si="36"/>
        <v>0</v>
      </c>
      <c r="I26" s="3319">
        <f t="shared" si="36"/>
        <v>15578755</v>
      </c>
      <c r="J26" s="3319">
        <f t="shared" si="36"/>
        <v>8198825</v>
      </c>
      <c r="K26" s="3319">
        <f t="shared" si="36"/>
        <v>0</v>
      </c>
      <c r="L26" s="3319">
        <f t="shared" si="36"/>
        <v>400476</v>
      </c>
      <c r="M26" s="3319">
        <f t="shared" si="36"/>
        <v>44105523</v>
      </c>
      <c r="N26" s="3319">
        <f t="shared" si="36"/>
        <v>19927467</v>
      </c>
      <c r="O26" s="3319">
        <f t="shared" si="36"/>
        <v>21630151</v>
      </c>
      <c r="P26" s="3319">
        <f t="shared" si="36"/>
        <v>938362</v>
      </c>
      <c r="Q26" s="3320">
        <f t="shared" si="36"/>
        <v>0</v>
      </c>
      <c r="R26" s="3320">
        <f t="shared" si="36"/>
        <v>0</v>
      </c>
      <c r="S26" s="3320">
        <f t="shared" si="36"/>
        <v>0</v>
      </c>
      <c r="T26" s="3320">
        <f t="shared" si="36"/>
        <v>0</v>
      </c>
      <c r="U26" s="3320">
        <f t="shared" si="36"/>
        <v>0</v>
      </c>
      <c r="V26" s="3320">
        <f t="shared" si="36"/>
        <v>0</v>
      </c>
      <c r="W26" s="3335">
        <f t="shared" si="36"/>
        <v>0</v>
      </c>
      <c r="X26" s="4269"/>
      <c r="Y26" s="3328"/>
      <c r="AA26" s="3287"/>
    </row>
    <row r="27" spans="1:28" s="3257" customFormat="1" ht="15" customHeight="1" thickBot="1">
      <c r="A27" s="3322"/>
      <c r="B27" s="3323" t="s">
        <v>48</v>
      </c>
      <c r="C27" s="3336"/>
      <c r="D27" s="3337">
        <f t="shared" ref="D27:L27" si="37">D37+D51+D76+D101+D114</f>
        <v>66674036</v>
      </c>
      <c r="E27" s="3337">
        <f t="shared" si="37"/>
        <v>0</v>
      </c>
      <c r="F27" s="3337">
        <f t="shared" si="37"/>
        <v>0</v>
      </c>
      <c r="G27" s="3337">
        <f t="shared" si="37"/>
        <v>0</v>
      </c>
      <c r="H27" s="3337">
        <f t="shared" si="37"/>
        <v>0</v>
      </c>
      <c r="I27" s="3337">
        <f t="shared" si="37"/>
        <v>15578755</v>
      </c>
      <c r="J27" s="3337">
        <f t="shared" si="37"/>
        <v>8198825</v>
      </c>
      <c r="K27" s="3337">
        <f t="shared" si="37"/>
        <v>0</v>
      </c>
      <c r="L27" s="3337">
        <f t="shared" si="37"/>
        <v>400476</v>
      </c>
      <c r="M27" s="3337">
        <f t="shared" ref="M27:T27" si="38">M37+M51+M76+M101+M114</f>
        <v>44105523</v>
      </c>
      <c r="N27" s="3337">
        <f t="shared" si="38"/>
        <v>19927467</v>
      </c>
      <c r="O27" s="3337">
        <f t="shared" si="38"/>
        <v>21630151</v>
      </c>
      <c r="P27" s="3337">
        <f t="shared" si="38"/>
        <v>938362</v>
      </c>
      <c r="Q27" s="3338">
        <f t="shared" si="38"/>
        <v>0</v>
      </c>
      <c r="R27" s="3338">
        <f t="shared" si="38"/>
        <v>0</v>
      </c>
      <c r="S27" s="3338">
        <f t="shared" si="38"/>
        <v>0</v>
      </c>
      <c r="T27" s="3338">
        <f t="shared" si="38"/>
        <v>0</v>
      </c>
      <c r="U27" s="3338">
        <f t="shared" ref="U27:W27" si="39">U37+U51+U76+U101+U114</f>
        <v>0</v>
      </c>
      <c r="V27" s="3338">
        <f t="shared" si="39"/>
        <v>0</v>
      </c>
      <c r="W27" s="3339">
        <f t="shared" si="39"/>
        <v>0</v>
      </c>
      <c r="X27" s="4270"/>
      <c r="Y27" s="3328"/>
      <c r="AA27" s="3287">
        <f>+P27+O27+N27+L27+K27+J27+I27+E27</f>
        <v>66674036</v>
      </c>
    </row>
    <row r="28" spans="1:28" s="3346" customFormat="1" ht="23.25" hidden="1" customHeight="1">
      <c r="A28" s="4256" t="s">
        <v>79</v>
      </c>
      <c r="B28" s="3340"/>
      <c r="C28" s="3341" t="s">
        <v>98</v>
      </c>
      <c r="D28" s="3342"/>
      <c r="E28" s="3343"/>
      <c r="F28" s="3343"/>
      <c r="G28" s="3343"/>
      <c r="H28" s="3343"/>
      <c r="I28" s="3343"/>
      <c r="J28" s="3343"/>
      <c r="K28" s="3343"/>
      <c r="L28" s="3343"/>
      <c r="M28" s="3343"/>
      <c r="N28" s="3343"/>
      <c r="O28" s="3343"/>
      <c r="P28" s="3343"/>
      <c r="Q28" s="3343"/>
      <c r="R28" s="3343"/>
      <c r="S28" s="3343"/>
      <c r="T28" s="3343"/>
      <c r="U28" s="3344"/>
      <c r="V28" s="3343"/>
      <c r="W28" s="3342"/>
      <c r="X28" s="3345"/>
      <c r="Y28" s="4259" t="s">
        <v>177</v>
      </c>
    </row>
    <row r="29" spans="1:28" s="3354" customFormat="1" ht="13.5" hidden="1" customHeight="1">
      <c r="A29" s="4257"/>
      <c r="B29" s="3347"/>
      <c r="C29" s="3348"/>
      <c r="D29" s="3349"/>
      <c r="E29" s="3349"/>
      <c r="F29" s="3349"/>
      <c r="G29" s="3349"/>
      <c r="H29" s="3349"/>
      <c r="I29" s="3349"/>
      <c r="J29" s="3349"/>
      <c r="K29" s="3349"/>
      <c r="L29" s="3349"/>
      <c r="M29" s="3349"/>
      <c r="N29" s="3349"/>
      <c r="O29" s="3349"/>
      <c r="P29" s="3349"/>
      <c r="Q29" s="3349"/>
      <c r="R29" s="3349"/>
      <c r="S29" s="3349"/>
      <c r="T29" s="3349"/>
      <c r="U29" s="3350"/>
      <c r="V29" s="3351"/>
      <c r="W29" s="3352"/>
      <c r="X29" s="3353"/>
      <c r="Y29" s="4260"/>
    </row>
    <row r="30" spans="1:28" s="3354" customFormat="1" ht="12.75" hidden="1" customHeight="1">
      <c r="A30" s="4257"/>
      <c r="B30" s="3355" t="s">
        <v>36</v>
      </c>
      <c r="C30" s="4263" t="s">
        <v>178</v>
      </c>
      <c r="D30" s="3356"/>
      <c r="E30" s="3356"/>
      <c r="F30" s="3356"/>
      <c r="G30" s="3356"/>
      <c r="H30" s="3356"/>
      <c r="I30" s="3356"/>
      <c r="J30" s="3356"/>
      <c r="K30" s="3356"/>
      <c r="L30" s="3356"/>
      <c r="M30" s="3356"/>
      <c r="N30" s="3356"/>
      <c r="O30" s="3356"/>
      <c r="P30" s="3356"/>
      <c r="Q30" s="3356"/>
      <c r="R30" s="3356"/>
      <c r="S30" s="3356"/>
      <c r="T30" s="3356"/>
      <c r="U30" s="3357"/>
      <c r="V30" s="3358"/>
      <c r="W30" s="3359"/>
      <c r="X30" s="3360"/>
      <c r="Y30" s="4261"/>
    </row>
    <row r="31" spans="1:28" s="3354" customFormat="1" ht="12.75" hidden="1" customHeight="1">
      <c r="A31" s="4257"/>
      <c r="B31" s="3361" t="s">
        <v>179</v>
      </c>
      <c r="C31" s="4278"/>
      <c r="D31" s="3362"/>
      <c r="E31" s="3362"/>
      <c r="F31" s="3362"/>
      <c r="G31" s="3362"/>
      <c r="H31" s="3362"/>
      <c r="I31" s="3362"/>
      <c r="J31" s="3362"/>
      <c r="K31" s="3362"/>
      <c r="L31" s="3362"/>
      <c r="M31" s="3362"/>
      <c r="N31" s="3362"/>
      <c r="O31" s="3362"/>
      <c r="P31" s="3362"/>
      <c r="Q31" s="3362"/>
      <c r="R31" s="3362"/>
      <c r="S31" s="3362"/>
      <c r="T31" s="3362"/>
      <c r="U31" s="3363"/>
      <c r="V31" s="3364"/>
      <c r="W31" s="3365"/>
      <c r="X31" s="3366"/>
      <c r="Y31" s="4261"/>
      <c r="AB31" s="3367"/>
    </row>
    <row r="32" spans="1:28" s="3354" customFormat="1" ht="13.5" hidden="1" customHeight="1">
      <c r="A32" s="4257"/>
      <c r="B32" s="3368" t="s">
        <v>175</v>
      </c>
      <c r="C32" s="4278"/>
      <c r="D32" s="3362"/>
      <c r="E32" s="3362"/>
      <c r="F32" s="3362"/>
      <c r="G32" s="3362"/>
      <c r="H32" s="3362"/>
      <c r="I32" s="3362"/>
      <c r="J32" s="3362"/>
      <c r="K32" s="3362"/>
      <c r="L32" s="3362"/>
      <c r="M32" s="3362"/>
      <c r="N32" s="3362"/>
      <c r="O32" s="3362"/>
      <c r="P32" s="3362"/>
      <c r="Q32" s="3362"/>
      <c r="R32" s="3362"/>
      <c r="S32" s="3362"/>
      <c r="T32" s="3362"/>
      <c r="U32" s="3363"/>
      <c r="V32" s="3364"/>
      <c r="W32" s="3365"/>
      <c r="X32" s="3369"/>
      <c r="Y32" s="4261"/>
    </row>
    <row r="33" spans="1:28" s="3354" customFormat="1" ht="13.5" hidden="1" customHeight="1">
      <c r="A33" s="4257"/>
      <c r="B33" s="3370" t="s">
        <v>30</v>
      </c>
      <c r="C33" s="4278"/>
      <c r="D33" s="3371"/>
      <c r="E33" s="3371"/>
      <c r="F33" s="3371"/>
      <c r="G33" s="3371"/>
      <c r="H33" s="3371"/>
      <c r="I33" s="3371"/>
      <c r="J33" s="3371"/>
      <c r="K33" s="3371"/>
      <c r="L33" s="3371"/>
      <c r="M33" s="3371"/>
      <c r="N33" s="3371"/>
      <c r="O33" s="3371"/>
      <c r="P33" s="3371"/>
      <c r="Q33" s="3371"/>
      <c r="R33" s="3371"/>
      <c r="S33" s="3371"/>
      <c r="T33" s="3371"/>
      <c r="U33" s="3372"/>
      <c r="V33" s="3373"/>
      <c r="W33" s="3374"/>
      <c r="X33" s="3375"/>
      <c r="Y33" s="4261"/>
    </row>
    <row r="34" spans="1:28" s="3354" customFormat="1" ht="11.25" hidden="1" customHeight="1">
      <c r="A34" s="4257"/>
      <c r="B34" s="3376" t="s">
        <v>48</v>
      </c>
      <c r="C34" s="4278"/>
      <c r="D34" s="3377"/>
      <c r="E34" s="3377"/>
      <c r="F34" s="3377"/>
      <c r="G34" s="3377"/>
      <c r="H34" s="3377"/>
      <c r="I34" s="3377"/>
      <c r="J34" s="3377"/>
      <c r="K34" s="3377"/>
      <c r="L34" s="3377"/>
      <c r="M34" s="3377"/>
      <c r="N34" s="3377"/>
      <c r="O34" s="3377"/>
      <c r="P34" s="3377"/>
      <c r="Q34" s="3377"/>
      <c r="R34" s="3377"/>
      <c r="S34" s="3377"/>
      <c r="T34" s="3377"/>
      <c r="U34" s="3363"/>
      <c r="V34" s="3364"/>
      <c r="W34" s="3365"/>
      <c r="X34" s="3366"/>
      <c r="Y34" s="4261"/>
    </row>
    <row r="35" spans="1:28" s="3354" customFormat="1" ht="13.5" hidden="1" customHeight="1">
      <c r="A35" s="4257"/>
      <c r="B35" s="3378" t="s">
        <v>34</v>
      </c>
      <c r="C35" s="3379"/>
      <c r="D35" s="3349"/>
      <c r="E35" s="3349"/>
      <c r="F35" s="3349"/>
      <c r="G35" s="3349"/>
      <c r="H35" s="3349"/>
      <c r="I35" s="3349"/>
      <c r="J35" s="3349"/>
      <c r="K35" s="3349"/>
      <c r="L35" s="3349"/>
      <c r="M35" s="3349"/>
      <c r="N35" s="3349"/>
      <c r="O35" s="3349"/>
      <c r="P35" s="3349"/>
      <c r="Q35" s="3349"/>
      <c r="R35" s="3349"/>
      <c r="S35" s="3349"/>
      <c r="T35" s="3349"/>
      <c r="U35" s="3350"/>
      <c r="V35" s="3351"/>
      <c r="W35" s="3352"/>
      <c r="X35" s="3380"/>
      <c r="Y35" s="4261"/>
    </row>
    <row r="36" spans="1:28" s="3354" customFormat="1" ht="13.5" hidden="1" customHeight="1">
      <c r="A36" s="4257"/>
      <c r="B36" s="3370" t="s">
        <v>30</v>
      </c>
      <c r="C36" s="3381"/>
      <c r="D36" s="3382"/>
      <c r="E36" s="3382"/>
      <c r="F36" s="3382"/>
      <c r="G36" s="3382"/>
      <c r="H36" s="3382"/>
      <c r="I36" s="3382"/>
      <c r="J36" s="3382"/>
      <c r="K36" s="3382"/>
      <c r="L36" s="3382"/>
      <c r="M36" s="3382"/>
      <c r="N36" s="3382"/>
      <c r="O36" s="3382"/>
      <c r="P36" s="3382"/>
      <c r="Q36" s="3382"/>
      <c r="R36" s="3382"/>
      <c r="S36" s="3382"/>
      <c r="T36" s="3382"/>
      <c r="U36" s="3383"/>
      <c r="V36" s="3384"/>
      <c r="W36" s="3385"/>
      <c r="X36" s="3380"/>
      <c r="Y36" s="4261"/>
    </row>
    <row r="37" spans="1:28" s="3354" customFormat="1" ht="14.25" hidden="1" customHeight="1" thickBot="1">
      <c r="A37" s="4258"/>
      <c r="B37" s="3386" t="s">
        <v>48</v>
      </c>
      <c r="C37" s="3387" t="s">
        <v>35</v>
      </c>
      <c r="D37" s="3388"/>
      <c r="E37" s="3364"/>
      <c r="F37" s="3364"/>
      <c r="G37" s="3364"/>
      <c r="H37" s="3364"/>
      <c r="I37" s="3364"/>
      <c r="J37" s="3364"/>
      <c r="K37" s="3364"/>
      <c r="L37" s="3364"/>
      <c r="M37" s="3364"/>
      <c r="N37" s="3364"/>
      <c r="O37" s="3364"/>
      <c r="P37" s="3364"/>
      <c r="Q37" s="3364"/>
      <c r="R37" s="3364"/>
      <c r="S37" s="3364"/>
      <c r="T37" s="3364"/>
      <c r="U37" s="3363"/>
      <c r="V37" s="3364"/>
      <c r="W37" s="3365"/>
      <c r="X37" s="3389"/>
      <c r="Y37" s="4262"/>
    </row>
    <row r="38" spans="1:28" s="3354" customFormat="1" ht="27" customHeight="1">
      <c r="A38" s="4256" t="s">
        <v>79</v>
      </c>
      <c r="B38" s="4342" t="s">
        <v>370</v>
      </c>
      <c r="C38" s="4317" t="s">
        <v>98</v>
      </c>
      <c r="D38" s="3390"/>
      <c r="E38" s="4315"/>
      <c r="F38" s="4315"/>
      <c r="G38" s="4315"/>
      <c r="H38" s="4315"/>
      <c r="I38" s="4315"/>
      <c r="J38" s="4315"/>
      <c r="K38" s="4315"/>
      <c r="L38" s="3391"/>
      <c r="M38" s="3391"/>
      <c r="N38" s="4315"/>
      <c r="O38" s="3391"/>
      <c r="P38" s="3391"/>
      <c r="Q38" s="3391"/>
      <c r="R38" s="3391"/>
      <c r="S38" s="3391"/>
      <c r="T38" s="3391"/>
      <c r="U38" s="3392"/>
      <c r="V38" s="3391"/>
      <c r="W38" s="3390"/>
      <c r="X38" s="3393"/>
      <c r="Y38" s="4259" t="s">
        <v>180</v>
      </c>
    </row>
    <row r="39" spans="1:28" s="3354" customFormat="1" ht="28.5" customHeight="1">
      <c r="A39" s="4257"/>
      <c r="B39" s="4343"/>
      <c r="C39" s="4318"/>
      <c r="D39" s="3394"/>
      <c r="E39" s="4316"/>
      <c r="F39" s="4316"/>
      <c r="G39" s="4316"/>
      <c r="H39" s="4316"/>
      <c r="I39" s="4316"/>
      <c r="J39" s="4316"/>
      <c r="K39" s="4316"/>
      <c r="L39" s="3395"/>
      <c r="M39" s="3395"/>
      <c r="N39" s="4316"/>
      <c r="O39" s="3395"/>
      <c r="P39" s="3395"/>
      <c r="Q39" s="3395"/>
      <c r="R39" s="3395"/>
      <c r="S39" s="3395"/>
      <c r="T39" s="3395"/>
      <c r="U39" s="3396"/>
      <c r="V39" s="3395"/>
      <c r="W39" s="3394"/>
      <c r="X39" s="3397"/>
      <c r="Y39" s="4260"/>
    </row>
    <row r="40" spans="1:28" s="3354" customFormat="1" ht="13.5" customHeight="1">
      <c r="A40" s="4257"/>
      <c r="B40" s="3378" t="s">
        <v>22</v>
      </c>
      <c r="C40" s="3398"/>
      <c r="D40" s="3349">
        <f>+D41+D45</f>
        <v>95247151</v>
      </c>
      <c r="E40" s="3349">
        <f t="shared" ref="E40:M40" si="40">+E41+E45</f>
        <v>3210853</v>
      </c>
      <c r="F40" s="3349">
        <f t="shared" si="40"/>
        <v>0</v>
      </c>
      <c r="G40" s="3349">
        <f t="shared" si="40"/>
        <v>78054</v>
      </c>
      <c r="H40" s="3349">
        <f t="shared" si="40"/>
        <v>2678041</v>
      </c>
      <c r="I40" s="3349">
        <f t="shared" si="40"/>
        <v>20749439</v>
      </c>
      <c r="J40" s="3349">
        <f t="shared" si="40"/>
        <v>15205981</v>
      </c>
      <c r="K40" s="3349">
        <f t="shared" si="40"/>
        <v>6980991</v>
      </c>
      <c r="L40" s="3349">
        <f t="shared" si="40"/>
        <v>29066477</v>
      </c>
      <c r="M40" s="3349">
        <f t="shared" si="40"/>
        <v>93013218</v>
      </c>
      <c r="N40" s="3349">
        <f>+N41+N45</f>
        <v>17799477</v>
      </c>
      <c r="O40" s="3349">
        <f>+O41+O45</f>
        <v>2233933</v>
      </c>
      <c r="P40" s="3399">
        <f t="shared" ref="P40:T40" si="41">+P41+P45</f>
        <v>0</v>
      </c>
      <c r="Q40" s="3399">
        <f t="shared" si="41"/>
        <v>0</v>
      </c>
      <c r="R40" s="3399">
        <f t="shared" si="41"/>
        <v>0</v>
      </c>
      <c r="S40" s="3399">
        <f t="shared" si="41"/>
        <v>0</v>
      </c>
      <c r="T40" s="3399">
        <f t="shared" si="41"/>
        <v>0</v>
      </c>
      <c r="U40" s="3399">
        <f t="shared" ref="U40:W40" si="42">+U41+U45</f>
        <v>0</v>
      </c>
      <c r="V40" s="3399">
        <f t="shared" si="42"/>
        <v>0</v>
      </c>
      <c r="W40" s="3400">
        <f t="shared" si="42"/>
        <v>0</v>
      </c>
      <c r="X40" s="3401">
        <f>+X41</f>
        <v>0</v>
      </c>
      <c r="Y40" s="4260"/>
    </row>
    <row r="41" spans="1:28" s="3354" customFormat="1" ht="13.5" customHeight="1">
      <c r="A41" s="4257"/>
      <c r="B41" s="3402" t="s">
        <v>36</v>
      </c>
      <c r="C41" s="4263" t="s">
        <v>369</v>
      </c>
      <c r="D41" s="3403">
        <f>+D42+D43+D44</f>
        <v>56350541</v>
      </c>
      <c r="E41" s="3403">
        <f t="shared" ref="E41:K41" si="43">+E42+E43</f>
        <v>3210853</v>
      </c>
      <c r="F41" s="3403">
        <f t="shared" si="43"/>
        <v>0</v>
      </c>
      <c r="G41" s="3403">
        <f t="shared" si="43"/>
        <v>78054</v>
      </c>
      <c r="H41" s="3403">
        <f t="shared" si="43"/>
        <v>2678041</v>
      </c>
      <c r="I41" s="3403">
        <f t="shared" si="43"/>
        <v>5170684</v>
      </c>
      <c r="J41" s="3403">
        <f>+J42+J43</f>
        <v>7007156</v>
      </c>
      <c r="K41" s="3403">
        <f t="shared" si="43"/>
        <v>6980991</v>
      </c>
      <c r="L41" s="3403">
        <f>+L42+L43+L44</f>
        <v>29066477</v>
      </c>
      <c r="M41" s="3403">
        <f>+M42+M43+M44</f>
        <v>56061438</v>
      </c>
      <c r="N41" s="3403">
        <f>+N42+N43+N44</f>
        <v>4625277</v>
      </c>
      <c r="O41" s="3403">
        <f>+O42+O43+O44</f>
        <v>289103</v>
      </c>
      <c r="P41" s="3404">
        <f t="shared" ref="P41:T41" si="44">+P42+P43+P44</f>
        <v>0</v>
      </c>
      <c r="Q41" s="3404">
        <f t="shared" si="44"/>
        <v>0</v>
      </c>
      <c r="R41" s="3404">
        <f t="shared" si="44"/>
        <v>0</v>
      </c>
      <c r="S41" s="3404">
        <f t="shared" si="44"/>
        <v>0</v>
      </c>
      <c r="T41" s="3404">
        <f t="shared" si="44"/>
        <v>0</v>
      </c>
      <c r="U41" s="3404">
        <f t="shared" ref="U41:W41" si="45">+U42+U43+U44</f>
        <v>0</v>
      </c>
      <c r="V41" s="3404">
        <f t="shared" si="45"/>
        <v>0</v>
      </c>
      <c r="W41" s="3405">
        <f t="shared" si="45"/>
        <v>0</v>
      </c>
      <c r="X41" s="3406">
        <f>+X43+X44</f>
        <v>0</v>
      </c>
      <c r="Y41" s="4261"/>
    </row>
    <row r="42" spans="1:28" s="3354" customFormat="1" ht="13.5" customHeight="1">
      <c r="A42" s="4257"/>
      <c r="B42" s="3407" t="s">
        <v>179</v>
      </c>
      <c r="C42" s="4278"/>
      <c r="D42" s="3362">
        <f>M42+O42+P42+Q42+R42+S42+T42+U42+V42+W42</f>
        <v>33588498</v>
      </c>
      <c r="E42" s="3362">
        <v>404973</v>
      </c>
      <c r="F42" s="3362">
        <v>0</v>
      </c>
      <c r="G42" s="3362">
        <v>51054</v>
      </c>
      <c r="H42" s="3362">
        <v>679161</v>
      </c>
      <c r="I42" s="3362">
        <v>229513</v>
      </c>
      <c r="J42" s="3362">
        <v>878679</v>
      </c>
      <c r="K42" s="3362">
        <v>4792150</v>
      </c>
      <c r="L42" s="3362">
        <v>24268653</v>
      </c>
      <c r="M42" s="3362">
        <f>+L42+K42+J42+I42+E42+N42</f>
        <v>33588498</v>
      </c>
      <c r="N42" s="3362">
        <v>3014530</v>
      </c>
      <c r="O42" s="3362">
        <v>0</v>
      </c>
      <c r="P42" s="3408">
        <v>0</v>
      </c>
      <c r="Q42" s="3408">
        <v>0</v>
      </c>
      <c r="R42" s="3408">
        <v>0</v>
      </c>
      <c r="S42" s="3408">
        <v>0</v>
      </c>
      <c r="T42" s="3408">
        <v>0</v>
      </c>
      <c r="U42" s="3408">
        <v>0</v>
      </c>
      <c r="V42" s="3408">
        <v>0</v>
      </c>
      <c r="W42" s="3409">
        <v>0</v>
      </c>
      <c r="X42" s="3304" t="s">
        <v>77</v>
      </c>
      <c r="Y42" s="4261"/>
      <c r="AB42" s="3367">
        <f>+E40+I40+J40+K40</f>
        <v>46147264</v>
      </c>
    </row>
    <row r="43" spans="1:28" s="3354" customFormat="1" ht="15" customHeight="1">
      <c r="A43" s="4257"/>
      <c r="B43" s="3410" t="s">
        <v>175</v>
      </c>
      <c r="C43" s="4278"/>
      <c r="D43" s="3362">
        <f>M43+O43+P43+Q43+R43+S43+T43+U43+V43+W43</f>
        <v>16980000</v>
      </c>
      <c r="E43" s="3362">
        <v>2805880</v>
      </c>
      <c r="F43" s="3362">
        <v>0</v>
      </c>
      <c r="G43" s="3362">
        <v>27000</v>
      </c>
      <c r="H43" s="3362">
        <v>1998880</v>
      </c>
      <c r="I43" s="3362">
        <v>4941171</v>
      </c>
      <c r="J43" s="3362">
        <v>6128477</v>
      </c>
      <c r="K43" s="3362">
        <f>3104472-915631</f>
        <v>2188841</v>
      </c>
      <c r="L43" s="3362">
        <v>915631</v>
      </c>
      <c r="M43" s="3362">
        <f>+L43+K43+J43+I43+E43+N43</f>
        <v>16980000</v>
      </c>
      <c r="N43" s="3362">
        <v>0</v>
      </c>
      <c r="O43" s="3362">
        <v>0</v>
      </c>
      <c r="P43" s="3408">
        <v>0</v>
      </c>
      <c r="Q43" s="3408">
        <v>0</v>
      </c>
      <c r="R43" s="3408">
        <v>0</v>
      </c>
      <c r="S43" s="3408">
        <v>0</v>
      </c>
      <c r="T43" s="3408">
        <v>0</v>
      </c>
      <c r="U43" s="3408">
        <v>0</v>
      </c>
      <c r="V43" s="3408">
        <v>0</v>
      </c>
      <c r="W43" s="3409">
        <v>0</v>
      </c>
      <c r="X43" s="3411">
        <f>SUM(P43:T43)</f>
        <v>0</v>
      </c>
      <c r="Y43" s="4261"/>
    </row>
    <row r="44" spans="1:28" s="3354" customFormat="1" ht="15" customHeight="1">
      <c r="A44" s="4257"/>
      <c r="B44" s="3412" t="s">
        <v>94</v>
      </c>
      <c r="C44" s="4278"/>
      <c r="D44" s="3362">
        <f>M44+O44+P44+Q44+R44+S44+T44+U44+V44+W44</f>
        <v>5782043</v>
      </c>
      <c r="E44" s="3362">
        <v>0</v>
      </c>
      <c r="F44" s="3362"/>
      <c r="G44" s="3362"/>
      <c r="H44" s="3362"/>
      <c r="I44" s="3362">
        <v>0</v>
      </c>
      <c r="J44" s="3362">
        <v>0</v>
      </c>
      <c r="K44" s="3362">
        <v>0</v>
      </c>
      <c r="L44" s="3362">
        <v>3882193</v>
      </c>
      <c r="M44" s="3362">
        <f t="shared" ref="M44" si="46">+L44+K44+J44+I44+E44+N44</f>
        <v>5492940</v>
      </c>
      <c r="N44" s="3362">
        <v>1610747</v>
      </c>
      <c r="O44" s="3362">
        <v>289103</v>
      </c>
      <c r="P44" s="3408">
        <v>0</v>
      </c>
      <c r="Q44" s="3408">
        <v>0</v>
      </c>
      <c r="R44" s="3408">
        <v>0</v>
      </c>
      <c r="S44" s="3408">
        <v>0</v>
      </c>
      <c r="T44" s="3408">
        <v>0</v>
      </c>
      <c r="U44" s="3408">
        <v>0</v>
      </c>
      <c r="V44" s="3408">
        <v>0</v>
      </c>
      <c r="W44" s="3409">
        <v>0</v>
      </c>
      <c r="X44" s="3411">
        <f>SUM(P44:T44)</f>
        <v>0</v>
      </c>
      <c r="Y44" s="4261"/>
    </row>
    <row r="45" spans="1:28" s="3354" customFormat="1" ht="12.75" customHeight="1">
      <c r="A45" s="4257"/>
      <c r="B45" s="3413" t="s">
        <v>30</v>
      </c>
      <c r="C45" s="4278"/>
      <c r="D45" s="3371">
        <f>+D46</f>
        <v>38896610</v>
      </c>
      <c r="E45" s="3371">
        <f t="shared" ref="E45:X45" si="47">+E46</f>
        <v>0</v>
      </c>
      <c r="F45" s="3371">
        <f t="shared" si="47"/>
        <v>0</v>
      </c>
      <c r="G45" s="3371">
        <f t="shared" si="47"/>
        <v>0</v>
      </c>
      <c r="H45" s="3371">
        <f t="shared" si="47"/>
        <v>0</v>
      </c>
      <c r="I45" s="3371">
        <f t="shared" si="47"/>
        <v>15578755</v>
      </c>
      <c r="J45" s="3371">
        <f t="shared" si="47"/>
        <v>8198825</v>
      </c>
      <c r="K45" s="3371">
        <f t="shared" si="47"/>
        <v>0</v>
      </c>
      <c r="L45" s="3371">
        <v>0</v>
      </c>
      <c r="M45" s="3371">
        <f>+M46</f>
        <v>36951780</v>
      </c>
      <c r="N45" s="3371">
        <f t="shared" si="47"/>
        <v>13174200</v>
      </c>
      <c r="O45" s="3371">
        <f t="shared" si="47"/>
        <v>1944830</v>
      </c>
      <c r="P45" s="3414">
        <f t="shared" si="47"/>
        <v>0</v>
      </c>
      <c r="Q45" s="3414">
        <f t="shared" si="47"/>
        <v>0</v>
      </c>
      <c r="R45" s="3414">
        <f t="shared" si="47"/>
        <v>0</v>
      </c>
      <c r="S45" s="3414">
        <f t="shared" si="47"/>
        <v>0</v>
      </c>
      <c r="T45" s="3414">
        <f t="shared" si="47"/>
        <v>0</v>
      </c>
      <c r="U45" s="3414">
        <f t="shared" si="47"/>
        <v>0</v>
      </c>
      <c r="V45" s="3414">
        <f t="shared" si="47"/>
        <v>0</v>
      </c>
      <c r="W45" s="3415">
        <f t="shared" si="47"/>
        <v>0</v>
      </c>
      <c r="X45" s="3416" t="str">
        <f t="shared" si="47"/>
        <v>x</v>
      </c>
      <c r="Y45" s="4261"/>
    </row>
    <row r="46" spans="1:28" s="3354" customFormat="1" ht="12" customHeight="1">
      <c r="A46" s="4257"/>
      <c r="B46" s="3376" t="s">
        <v>48</v>
      </c>
      <c r="C46" s="4278"/>
      <c r="D46" s="3362">
        <f>M46+O46+P46+Q46+R46+S46+T46+U46+V46+W46</f>
        <v>38896610</v>
      </c>
      <c r="E46" s="3377">
        <f>+F46+G46+H46</f>
        <v>0</v>
      </c>
      <c r="F46" s="3377">
        <v>0</v>
      </c>
      <c r="G46" s="3377">
        <v>0</v>
      </c>
      <c r="H46" s="3377">
        <v>0</v>
      </c>
      <c r="I46" s="3362">
        <v>15578755</v>
      </c>
      <c r="J46" s="3362">
        <v>8198825</v>
      </c>
      <c r="K46" s="3377">
        <v>0</v>
      </c>
      <c r="L46" s="3377">
        <v>0</v>
      </c>
      <c r="M46" s="3362">
        <f>+L46+K46+J46+I46+E46+N46</f>
        <v>36951780</v>
      </c>
      <c r="N46" s="3362">
        <v>13174200</v>
      </c>
      <c r="O46" s="3362">
        <v>1944830</v>
      </c>
      <c r="P46" s="3408">
        <v>0</v>
      </c>
      <c r="Q46" s="3408">
        <v>0</v>
      </c>
      <c r="R46" s="3408">
        <v>0</v>
      </c>
      <c r="S46" s="3408">
        <v>0</v>
      </c>
      <c r="T46" s="3408">
        <v>0</v>
      </c>
      <c r="U46" s="3408">
        <v>0</v>
      </c>
      <c r="V46" s="3408">
        <v>0</v>
      </c>
      <c r="W46" s="3408">
        <v>0</v>
      </c>
      <c r="X46" s="3304" t="s">
        <v>77</v>
      </c>
      <c r="Y46" s="4261"/>
    </row>
    <row r="47" spans="1:28" s="3354" customFormat="1" ht="13.5" customHeight="1">
      <c r="A47" s="4257"/>
      <c r="B47" s="3378" t="s">
        <v>34</v>
      </c>
      <c r="C47" s="3379"/>
      <c r="D47" s="3349">
        <f>+D48+D50</f>
        <v>44678653</v>
      </c>
      <c r="E47" s="3349">
        <f t="shared" ref="E47:M47" si="48">+E50</f>
        <v>0</v>
      </c>
      <c r="F47" s="3349">
        <f t="shared" si="48"/>
        <v>0</v>
      </c>
      <c r="G47" s="3349">
        <f t="shared" si="48"/>
        <v>0</v>
      </c>
      <c r="H47" s="3349">
        <f t="shared" si="48"/>
        <v>0</v>
      </c>
      <c r="I47" s="3283">
        <f t="shared" si="48"/>
        <v>15578755</v>
      </c>
      <c r="J47" s="3283">
        <f t="shared" si="48"/>
        <v>8198825</v>
      </c>
      <c r="K47" s="3349">
        <f t="shared" si="48"/>
        <v>0</v>
      </c>
      <c r="L47" s="3349">
        <f t="shared" si="48"/>
        <v>0</v>
      </c>
      <c r="M47" s="3283">
        <f t="shared" si="48"/>
        <v>36951780</v>
      </c>
      <c r="N47" s="3283">
        <f>+N48+N50</f>
        <v>14784947</v>
      </c>
      <c r="O47" s="3283">
        <f>+O48+O50</f>
        <v>2233933</v>
      </c>
      <c r="P47" s="3417">
        <f t="shared" ref="P47:T47" si="49">+P48+P50</f>
        <v>0</v>
      </c>
      <c r="Q47" s="3417">
        <f t="shared" si="49"/>
        <v>0</v>
      </c>
      <c r="R47" s="3417">
        <f t="shared" si="49"/>
        <v>0</v>
      </c>
      <c r="S47" s="3417">
        <f t="shared" si="49"/>
        <v>0</v>
      </c>
      <c r="T47" s="3417">
        <f t="shared" si="49"/>
        <v>0</v>
      </c>
      <c r="U47" s="3417">
        <f t="shared" ref="U47:W47" si="50">+U48+U50</f>
        <v>0</v>
      </c>
      <c r="V47" s="3417">
        <f t="shared" si="50"/>
        <v>0</v>
      </c>
      <c r="W47" s="3417">
        <f t="shared" si="50"/>
        <v>0</v>
      </c>
      <c r="X47" s="3380"/>
      <c r="Y47" s="4261"/>
    </row>
    <row r="48" spans="1:28" s="3354" customFormat="1" ht="13.5" customHeight="1">
      <c r="A48" s="4257"/>
      <c r="B48" s="3418" t="s">
        <v>36</v>
      </c>
      <c r="C48" s="4307" t="s">
        <v>102</v>
      </c>
      <c r="D48" s="3382">
        <f>+D49</f>
        <v>5782043</v>
      </c>
      <c r="E48" s="3382">
        <v>0</v>
      </c>
      <c r="F48" s="3382"/>
      <c r="G48" s="3382"/>
      <c r="H48" s="3382"/>
      <c r="I48" s="3382">
        <v>0</v>
      </c>
      <c r="J48" s="3382">
        <v>0</v>
      </c>
      <c r="K48" s="3382">
        <v>0</v>
      </c>
      <c r="L48" s="3382">
        <f>+L49</f>
        <v>3882193</v>
      </c>
      <c r="M48" s="3382">
        <f>+M49</f>
        <v>5492940</v>
      </c>
      <c r="N48" s="3382">
        <f>+N49</f>
        <v>1610747</v>
      </c>
      <c r="O48" s="3382">
        <f>+O49</f>
        <v>289103</v>
      </c>
      <c r="P48" s="3419">
        <f t="shared" ref="P48:W48" si="51">+P49</f>
        <v>0</v>
      </c>
      <c r="Q48" s="3419">
        <f t="shared" si="51"/>
        <v>0</v>
      </c>
      <c r="R48" s="3419">
        <f t="shared" si="51"/>
        <v>0</v>
      </c>
      <c r="S48" s="3419">
        <f t="shared" si="51"/>
        <v>0</v>
      </c>
      <c r="T48" s="3419">
        <f t="shared" si="51"/>
        <v>0</v>
      </c>
      <c r="U48" s="3419">
        <f t="shared" si="51"/>
        <v>0</v>
      </c>
      <c r="V48" s="3419">
        <f t="shared" si="51"/>
        <v>0</v>
      </c>
      <c r="W48" s="3419">
        <f t="shared" si="51"/>
        <v>0</v>
      </c>
      <c r="X48" s="3380"/>
      <c r="Y48" s="4261"/>
    </row>
    <row r="49" spans="1:29" s="3354" customFormat="1" ht="15" customHeight="1">
      <c r="A49" s="4257"/>
      <c r="B49" s="3412" t="s">
        <v>94</v>
      </c>
      <c r="C49" s="4308"/>
      <c r="D49" s="3362">
        <f>M49+O49+P49+Q49+R49+S49+T49+U49+V49+W49</f>
        <v>5782043</v>
      </c>
      <c r="E49" s="3362">
        <v>0</v>
      </c>
      <c r="F49" s="3362"/>
      <c r="G49" s="3362"/>
      <c r="H49" s="3362"/>
      <c r="I49" s="3362">
        <v>0</v>
      </c>
      <c r="J49" s="3362">
        <v>0</v>
      </c>
      <c r="K49" s="3362">
        <v>0</v>
      </c>
      <c r="L49" s="3362">
        <v>3882193</v>
      </c>
      <c r="M49" s="3362">
        <f>+L49+K49+J49+I49+E49+N49</f>
        <v>5492940</v>
      </c>
      <c r="N49" s="3362">
        <v>1610747</v>
      </c>
      <c r="O49" s="3362">
        <v>289103</v>
      </c>
      <c r="P49" s="3408">
        <v>0</v>
      </c>
      <c r="Q49" s="3408">
        <v>0</v>
      </c>
      <c r="R49" s="3408">
        <v>0</v>
      </c>
      <c r="S49" s="3408">
        <v>0</v>
      </c>
      <c r="T49" s="3408">
        <v>0</v>
      </c>
      <c r="U49" s="3408">
        <v>0</v>
      </c>
      <c r="V49" s="3408">
        <v>0</v>
      </c>
      <c r="W49" s="3408">
        <v>0</v>
      </c>
      <c r="X49" s="3380"/>
      <c r="Y49" s="4261"/>
    </row>
    <row r="50" spans="1:29" s="3354" customFormat="1" ht="15" customHeight="1">
      <c r="A50" s="4257"/>
      <c r="B50" s="3413" t="s">
        <v>30</v>
      </c>
      <c r="C50" s="3420"/>
      <c r="D50" s="3382">
        <f>+D51</f>
        <v>38896610</v>
      </c>
      <c r="E50" s="3382">
        <f t="shared" ref="E50:W50" si="52">+E51</f>
        <v>0</v>
      </c>
      <c r="F50" s="3382">
        <f t="shared" si="52"/>
        <v>0</v>
      </c>
      <c r="G50" s="3382">
        <f t="shared" si="52"/>
        <v>0</v>
      </c>
      <c r="H50" s="3382">
        <f t="shared" si="52"/>
        <v>0</v>
      </c>
      <c r="I50" s="3382">
        <f t="shared" si="52"/>
        <v>15578755</v>
      </c>
      <c r="J50" s="3382">
        <f t="shared" si="52"/>
        <v>8198825</v>
      </c>
      <c r="K50" s="3382">
        <f t="shared" si="52"/>
        <v>0</v>
      </c>
      <c r="L50" s="3382">
        <f t="shared" si="52"/>
        <v>0</v>
      </c>
      <c r="M50" s="3382">
        <f t="shared" si="52"/>
        <v>36951780</v>
      </c>
      <c r="N50" s="3382">
        <f t="shared" si="52"/>
        <v>13174200</v>
      </c>
      <c r="O50" s="3382">
        <f t="shared" si="52"/>
        <v>1944830</v>
      </c>
      <c r="P50" s="3419">
        <f t="shared" si="52"/>
        <v>0</v>
      </c>
      <c r="Q50" s="3419">
        <f t="shared" si="52"/>
        <v>0</v>
      </c>
      <c r="R50" s="3419">
        <f t="shared" si="52"/>
        <v>0</v>
      </c>
      <c r="S50" s="3419">
        <f t="shared" si="52"/>
        <v>0</v>
      </c>
      <c r="T50" s="3419">
        <f t="shared" si="52"/>
        <v>0</v>
      </c>
      <c r="U50" s="3419">
        <f t="shared" si="52"/>
        <v>0</v>
      </c>
      <c r="V50" s="3419">
        <f t="shared" si="52"/>
        <v>0</v>
      </c>
      <c r="W50" s="3419">
        <f t="shared" si="52"/>
        <v>0</v>
      </c>
      <c r="X50" s="3380"/>
      <c r="Y50" s="4261"/>
    </row>
    <row r="51" spans="1:29" s="3354" customFormat="1" ht="15" customHeight="1" thickBot="1">
      <c r="A51" s="4258"/>
      <c r="B51" s="3421" t="s">
        <v>48</v>
      </c>
      <c r="C51" s="3422" t="s">
        <v>35</v>
      </c>
      <c r="D51" s="3423">
        <f>M51+O51+P51+Q51+R51+S51+T51+U51+V51+W51</f>
        <v>38896610</v>
      </c>
      <c r="E51" s="3424">
        <v>0</v>
      </c>
      <c r="F51" s="3424"/>
      <c r="G51" s="3424"/>
      <c r="H51" s="3424"/>
      <c r="I51" s="3424">
        <v>15578755</v>
      </c>
      <c r="J51" s="3424">
        <v>8198825</v>
      </c>
      <c r="K51" s="3424">
        <v>0</v>
      </c>
      <c r="L51" s="3424">
        <v>0</v>
      </c>
      <c r="M51" s="3423">
        <f>+L51+K51+J51+I51+E51+N51</f>
        <v>36951780</v>
      </c>
      <c r="N51" s="3424">
        <v>13174200</v>
      </c>
      <c r="O51" s="3424">
        <v>1944830</v>
      </c>
      <c r="P51" s="3425">
        <v>0</v>
      </c>
      <c r="Q51" s="3425">
        <v>0</v>
      </c>
      <c r="R51" s="3425">
        <v>0</v>
      </c>
      <c r="S51" s="3425">
        <v>0</v>
      </c>
      <c r="T51" s="3425">
        <v>0</v>
      </c>
      <c r="U51" s="3425">
        <v>0</v>
      </c>
      <c r="V51" s="3425">
        <v>0</v>
      </c>
      <c r="W51" s="3425">
        <v>0</v>
      </c>
      <c r="X51" s="3389"/>
      <c r="Y51" s="4262"/>
    </row>
    <row r="52" spans="1:29" s="3354" customFormat="1" ht="36" customHeight="1">
      <c r="A52" s="4289" t="s">
        <v>80</v>
      </c>
      <c r="B52" s="3426" t="s">
        <v>181</v>
      </c>
      <c r="C52" s="3341" t="s">
        <v>98</v>
      </c>
      <c r="D52" s="3390"/>
      <c r="E52" s="3427"/>
      <c r="F52" s="3427"/>
      <c r="G52" s="3427"/>
      <c r="H52" s="3427"/>
      <c r="I52" s="3427"/>
      <c r="J52" s="3391"/>
      <c r="K52" s="3391"/>
      <c r="L52" s="3391"/>
      <c r="M52" s="3391"/>
      <c r="N52" s="3391"/>
      <c r="O52" s="3391"/>
      <c r="P52" s="3391"/>
      <c r="Q52" s="3391"/>
      <c r="R52" s="3391"/>
      <c r="S52" s="3391"/>
      <c r="T52" s="3391"/>
      <c r="U52" s="3392"/>
      <c r="V52" s="3391"/>
      <c r="W52" s="3390"/>
      <c r="X52" s="3393"/>
      <c r="Y52" s="4259" t="s">
        <v>182</v>
      </c>
      <c r="AA52" s="4296"/>
      <c r="AB52" s="4296"/>
      <c r="AC52" s="4296"/>
    </row>
    <row r="53" spans="1:29" s="3354" customFormat="1" ht="13.5" customHeight="1">
      <c r="A53" s="4272"/>
      <c r="B53" s="3378" t="s">
        <v>22</v>
      </c>
      <c r="C53" s="3398"/>
      <c r="D53" s="3349">
        <f>+D54+D59</f>
        <v>90438534</v>
      </c>
      <c r="E53" s="3349">
        <f t="shared" ref="E53:M53" si="53">+E54+E59</f>
        <v>0</v>
      </c>
      <c r="F53" s="3349">
        <f t="shared" si="53"/>
        <v>0</v>
      </c>
      <c r="G53" s="3349">
        <f t="shared" si="53"/>
        <v>0</v>
      </c>
      <c r="H53" s="3349">
        <f t="shared" si="53"/>
        <v>0</v>
      </c>
      <c r="I53" s="3349">
        <f t="shared" si="53"/>
        <v>1145001</v>
      </c>
      <c r="J53" s="3349">
        <f t="shared" si="53"/>
        <v>14985000</v>
      </c>
      <c r="K53" s="3349">
        <f t="shared" si="53"/>
        <v>9212462</v>
      </c>
      <c r="L53" s="3349">
        <f t="shared" si="53"/>
        <v>1262011</v>
      </c>
      <c r="M53" s="3349">
        <f t="shared" si="53"/>
        <v>41289935</v>
      </c>
      <c r="N53" s="3349">
        <f>+N54+N59</f>
        <v>14685461</v>
      </c>
      <c r="O53" s="3349">
        <f>+O54+O59</f>
        <v>23771198</v>
      </c>
      <c r="P53" s="3349">
        <f>+P54</f>
        <v>25377401</v>
      </c>
      <c r="Q53" s="3399">
        <f t="shared" ref="Q53:W53" si="54">+Q54</f>
        <v>0</v>
      </c>
      <c r="R53" s="3399">
        <f t="shared" si="54"/>
        <v>0</v>
      </c>
      <c r="S53" s="3399">
        <f t="shared" si="54"/>
        <v>0</v>
      </c>
      <c r="T53" s="3399">
        <f t="shared" si="54"/>
        <v>0</v>
      </c>
      <c r="U53" s="3399">
        <f t="shared" si="54"/>
        <v>0</v>
      </c>
      <c r="V53" s="3399">
        <f t="shared" si="54"/>
        <v>0</v>
      </c>
      <c r="W53" s="3400">
        <f t="shared" si="54"/>
        <v>0</v>
      </c>
      <c r="X53" s="3401">
        <f>+X54+X59</f>
        <v>5496817</v>
      </c>
      <c r="Y53" s="4260"/>
      <c r="AA53" s="4296"/>
      <c r="AB53" s="4296"/>
      <c r="AC53" s="4296"/>
    </row>
    <row r="54" spans="1:29" s="3354" customFormat="1" ht="13.5" customHeight="1">
      <c r="A54" s="4272"/>
      <c r="B54" s="3402" t="s">
        <v>36</v>
      </c>
      <c r="C54" s="4263" t="s">
        <v>178</v>
      </c>
      <c r="D54" s="3356">
        <f>SUM(D55:D58)</f>
        <v>90438534</v>
      </c>
      <c r="E54" s="3356">
        <f t="shared" ref="E54:M54" si="55">+E55+E56+E57+E58</f>
        <v>0</v>
      </c>
      <c r="F54" s="3356">
        <f t="shared" si="55"/>
        <v>0</v>
      </c>
      <c r="G54" s="3356">
        <f t="shared" si="55"/>
        <v>0</v>
      </c>
      <c r="H54" s="3356">
        <f t="shared" si="55"/>
        <v>0</v>
      </c>
      <c r="I54" s="3356">
        <f t="shared" si="55"/>
        <v>1145001</v>
      </c>
      <c r="J54" s="3356">
        <f t="shared" si="55"/>
        <v>14985000</v>
      </c>
      <c r="K54" s="3356">
        <f t="shared" si="55"/>
        <v>9212462</v>
      </c>
      <c r="L54" s="3356">
        <f t="shared" si="55"/>
        <v>1262011</v>
      </c>
      <c r="M54" s="3356">
        <f t="shared" si="55"/>
        <v>41289935</v>
      </c>
      <c r="N54" s="3356">
        <f>SUM(N55:N58)</f>
        <v>14685461</v>
      </c>
      <c r="O54" s="3356">
        <f>SUM(O55:O58)</f>
        <v>23771198</v>
      </c>
      <c r="P54" s="3356">
        <f>+P55+P56+P57+P58</f>
        <v>25377401</v>
      </c>
      <c r="Q54" s="3428">
        <f t="shared" ref="Q54:T54" si="56">+Q55+Q56+Q57+Q58</f>
        <v>0</v>
      </c>
      <c r="R54" s="3428">
        <f t="shared" si="56"/>
        <v>0</v>
      </c>
      <c r="S54" s="3428">
        <f t="shared" si="56"/>
        <v>0</v>
      </c>
      <c r="T54" s="3428">
        <f t="shared" si="56"/>
        <v>0</v>
      </c>
      <c r="U54" s="3428">
        <f t="shared" ref="U54:W54" si="57">+U55+U56+U57+U58</f>
        <v>0</v>
      </c>
      <c r="V54" s="3428">
        <f t="shared" si="57"/>
        <v>0</v>
      </c>
      <c r="W54" s="3429">
        <f t="shared" si="57"/>
        <v>0</v>
      </c>
      <c r="X54" s="3406">
        <f>+X56+X57+X58</f>
        <v>5496817</v>
      </c>
      <c r="Y54" s="4260"/>
      <c r="AA54" s="4296"/>
      <c r="AB54" s="4296"/>
      <c r="AC54" s="4296"/>
    </row>
    <row r="55" spans="1:29" s="3354" customFormat="1" ht="13.5" customHeight="1">
      <c r="A55" s="4272"/>
      <c r="B55" s="3407" t="s">
        <v>179</v>
      </c>
      <c r="C55" s="4278"/>
      <c r="D55" s="3362">
        <f t="shared" ref="D55:D58" si="58">M55+O55+P55+Q55+R55+S55+T55+U55+V55+W55</f>
        <v>27679354</v>
      </c>
      <c r="E55" s="3362">
        <v>0</v>
      </c>
      <c r="F55" s="3362">
        <v>0</v>
      </c>
      <c r="G55" s="3362">
        <v>0</v>
      </c>
      <c r="H55" s="3362">
        <v>0</v>
      </c>
      <c r="I55" s="3362">
        <v>572501</v>
      </c>
      <c r="J55" s="3362">
        <v>2315000</v>
      </c>
      <c r="K55" s="3362">
        <v>7</v>
      </c>
      <c r="L55" s="3362">
        <v>711805</v>
      </c>
      <c r="M55" s="3362">
        <f t="shared" ref="M55:M58" si="59">+L55+K55+J55+I55+E55+N55</f>
        <v>3599313</v>
      </c>
      <c r="N55" s="3362">
        <v>0</v>
      </c>
      <c r="O55" s="3362">
        <f>7810382-3610925</f>
        <v>4199457</v>
      </c>
      <c r="P55" s="3362">
        <f>16269659+3610925</f>
        <v>19880584</v>
      </c>
      <c r="Q55" s="3408">
        <v>0</v>
      </c>
      <c r="R55" s="3408">
        <v>0</v>
      </c>
      <c r="S55" s="3408">
        <v>0</v>
      </c>
      <c r="T55" s="3408">
        <v>0</v>
      </c>
      <c r="U55" s="3408">
        <v>0</v>
      </c>
      <c r="V55" s="3408">
        <v>0</v>
      </c>
      <c r="W55" s="3409">
        <v>0</v>
      </c>
      <c r="X55" s="3304" t="s">
        <v>77</v>
      </c>
      <c r="Y55" s="4261"/>
      <c r="AA55" s="4296"/>
      <c r="AB55" s="4296"/>
      <c r="AC55" s="4296"/>
    </row>
    <row r="56" spans="1:29" s="3354" customFormat="1" ht="13.5" customHeight="1">
      <c r="A56" s="4272"/>
      <c r="B56" s="3410" t="s">
        <v>183</v>
      </c>
      <c r="C56" s="4278"/>
      <c r="D56" s="3362">
        <f t="shared" si="58"/>
        <v>24107180</v>
      </c>
      <c r="E56" s="3362">
        <f>+F56+G56+H56</f>
        <v>0</v>
      </c>
      <c r="F56" s="3362">
        <v>0</v>
      </c>
      <c r="G56" s="3362">
        <v>0</v>
      </c>
      <c r="H56" s="3362">
        <v>0</v>
      </c>
      <c r="I56" s="3362">
        <v>572500</v>
      </c>
      <c r="J56" s="3362">
        <v>2460000</v>
      </c>
      <c r="K56" s="3362">
        <v>5302500</v>
      </c>
      <c r="L56" s="3362">
        <v>27062</v>
      </c>
      <c r="M56" s="3362">
        <f t="shared" si="59"/>
        <v>16227937</v>
      </c>
      <c r="N56" s="3362">
        <v>7865875</v>
      </c>
      <c r="O56" s="3362">
        <v>7686142</v>
      </c>
      <c r="P56" s="3362">
        <v>193101</v>
      </c>
      <c r="Q56" s="3408">
        <v>0</v>
      </c>
      <c r="R56" s="3408">
        <v>0</v>
      </c>
      <c r="S56" s="3408">
        <v>0</v>
      </c>
      <c r="T56" s="3408">
        <v>0</v>
      </c>
      <c r="U56" s="3408">
        <v>0</v>
      </c>
      <c r="V56" s="3408">
        <v>0</v>
      </c>
      <c r="W56" s="3409">
        <v>0</v>
      </c>
      <c r="X56" s="3411">
        <f>SUM(P56:T56)</f>
        <v>193101</v>
      </c>
      <c r="Y56" s="4261"/>
      <c r="AA56" s="4296"/>
      <c r="AB56" s="4296"/>
      <c r="AC56" s="4296"/>
    </row>
    <row r="57" spans="1:29" s="3354" customFormat="1" ht="13.5" customHeight="1">
      <c r="A57" s="4272"/>
      <c r="B57" s="3412" t="s">
        <v>25</v>
      </c>
      <c r="C57" s="4278"/>
      <c r="D57" s="3362">
        <f t="shared" si="58"/>
        <v>32452000</v>
      </c>
      <c r="E57" s="3377">
        <v>0</v>
      </c>
      <c r="F57" s="3377"/>
      <c r="G57" s="3377"/>
      <c r="H57" s="3377"/>
      <c r="I57" s="3377">
        <v>0</v>
      </c>
      <c r="J57" s="3377">
        <f>6920000+1145000</f>
        <v>8065000</v>
      </c>
      <c r="K57" s="3377">
        <v>1854955</v>
      </c>
      <c r="L57" s="3377">
        <v>0</v>
      </c>
      <c r="M57" s="3362">
        <f t="shared" si="59"/>
        <v>15262685</v>
      </c>
      <c r="N57" s="3377">
        <v>5342730</v>
      </c>
      <c r="O57" s="3377">
        <v>11885599</v>
      </c>
      <c r="P57" s="3377">
        <v>5303716</v>
      </c>
      <c r="Q57" s="3430">
        <v>0</v>
      </c>
      <c r="R57" s="3430">
        <v>0</v>
      </c>
      <c r="S57" s="3430">
        <v>0</v>
      </c>
      <c r="T57" s="3430">
        <v>0</v>
      </c>
      <c r="U57" s="3430">
        <v>0</v>
      </c>
      <c r="V57" s="3430">
        <v>0</v>
      </c>
      <c r="W57" s="3431">
        <v>0</v>
      </c>
      <c r="X57" s="3411">
        <f>SUM(P57:T57)</f>
        <v>5303716</v>
      </c>
      <c r="Y57" s="4261"/>
      <c r="AA57" s="4296"/>
      <c r="AB57" s="4296"/>
      <c r="AC57" s="4296"/>
    </row>
    <row r="58" spans="1:29" s="3354" customFormat="1" ht="15.75" customHeight="1">
      <c r="A58" s="4272"/>
      <c r="B58" s="3412" t="s">
        <v>176</v>
      </c>
      <c r="C58" s="4278"/>
      <c r="D58" s="3362">
        <f t="shared" si="58"/>
        <v>6200000</v>
      </c>
      <c r="E58" s="3377">
        <v>0</v>
      </c>
      <c r="F58" s="3377"/>
      <c r="G58" s="3377"/>
      <c r="H58" s="3377"/>
      <c r="I58" s="3377">
        <v>0</v>
      </c>
      <c r="J58" s="3377">
        <v>2145000</v>
      </c>
      <c r="K58" s="3377">
        <v>2055000</v>
      </c>
      <c r="L58" s="3377">
        <v>523144</v>
      </c>
      <c r="M58" s="3362">
        <f t="shared" si="59"/>
        <v>6200000</v>
      </c>
      <c r="N58" s="3377">
        <f>3476856-2000000</f>
        <v>1476856</v>
      </c>
      <c r="O58" s="3377">
        <v>0</v>
      </c>
      <c r="P58" s="3377">
        <v>0</v>
      </c>
      <c r="Q58" s="3430">
        <v>0</v>
      </c>
      <c r="R58" s="3430">
        <v>0</v>
      </c>
      <c r="S58" s="3430">
        <v>0</v>
      </c>
      <c r="T58" s="3430">
        <v>0</v>
      </c>
      <c r="U58" s="3430">
        <v>0</v>
      </c>
      <c r="V58" s="3430">
        <v>0</v>
      </c>
      <c r="W58" s="3431">
        <v>0</v>
      </c>
      <c r="X58" s="3411">
        <f>SUM(P58:T58)</f>
        <v>0</v>
      </c>
      <c r="Y58" s="4261"/>
      <c r="AA58" s="4296"/>
      <c r="AB58" s="4296"/>
      <c r="AC58" s="4296"/>
    </row>
    <row r="59" spans="1:29" s="3354" customFormat="1" ht="18.75" hidden="1" customHeight="1">
      <c r="A59" s="4272"/>
      <c r="B59" s="3266" t="s">
        <v>30</v>
      </c>
      <c r="C59" s="4267"/>
      <c r="D59" s="3432">
        <f>+D60</f>
        <v>0</v>
      </c>
      <c r="E59" s="3432">
        <f t="shared" ref="E59:N59" si="60">+E60</f>
        <v>0</v>
      </c>
      <c r="F59" s="3432">
        <f t="shared" si="60"/>
        <v>0</v>
      </c>
      <c r="G59" s="3432">
        <f t="shared" si="60"/>
        <v>0</v>
      </c>
      <c r="H59" s="3432">
        <f t="shared" si="60"/>
        <v>0</v>
      </c>
      <c r="I59" s="3432">
        <f t="shared" si="60"/>
        <v>0</v>
      </c>
      <c r="J59" s="3432">
        <f t="shared" si="60"/>
        <v>0</v>
      </c>
      <c r="K59" s="3432">
        <f t="shared" si="60"/>
        <v>0</v>
      </c>
      <c r="L59" s="3432">
        <f t="shared" si="60"/>
        <v>0</v>
      </c>
      <c r="M59" s="3432"/>
      <c r="N59" s="3432">
        <f t="shared" si="60"/>
        <v>0</v>
      </c>
      <c r="O59" s="3432"/>
      <c r="P59" s="3432"/>
      <c r="Q59" s="3433"/>
      <c r="R59" s="3433"/>
      <c r="S59" s="3433"/>
      <c r="T59" s="3434"/>
      <c r="U59" s="3434"/>
      <c r="V59" s="3435"/>
      <c r="W59" s="3434"/>
      <c r="X59" s="3366"/>
      <c r="Y59" s="4261"/>
      <c r="AA59" s="4296"/>
      <c r="AB59" s="4296"/>
      <c r="AC59" s="4296"/>
    </row>
    <row r="60" spans="1:29" s="3354" customFormat="1" ht="16.5" hidden="1" customHeight="1">
      <c r="A60" s="4272"/>
      <c r="B60" s="3432" t="s">
        <v>48</v>
      </c>
      <c r="C60" s="3436"/>
      <c r="D60" s="3432">
        <v>0</v>
      </c>
      <c r="E60" s="3432">
        <f>+F60+G60+H60</f>
        <v>0</v>
      </c>
      <c r="F60" s="3432">
        <v>0</v>
      </c>
      <c r="G60" s="3432">
        <v>0</v>
      </c>
      <c r="H60" s="3432">
        <v>0</v>
      </c>
      <c r="I60" s="3432">
        <v>0</v>
      </c>
      <c r="J60" s="3432">
        <v>0</v>
      </c>
      <c r="K60" s="3432">
        <v>0</v>
      </c>
      <c r="L60" s="3432">
        <v>0</v>
      </c>
      <c r="M60" s="3432"/>
      <c r="N60" s="3432">
        <v>0</v>
      </c>
      <c r="O60" s="3432"/>
      <c r="P60" s="3432"/>
      <c r="Q60" s="3433"/>
      <c r="R60" s="3433"/>
      <c r="S60" s="3433"/>
      <c r="T60" s="3433"/>
      <c r="U60" s="3434"/>
      <c r="V60" s="3435"/>
      <c r="W60" s="3433"/>
      <c r="X60" s="3437"/>
      <c r="Y60" s="4261"/>
      <c r="AA60" s="4296"/>
      <c r="AB60" s="4296"/>
      <c r="AC60" s="4296"/>
    </row>
    <row r="61" spans="1:29" s="3354" customFormat="1" ht="13.5" customHeight="1">
      <c r="A61" s="4272"/>
      <c r="B61" s="3378" t="s">
        <v>34</v>
      </c>
      <c r="C61" s="3398"/>
      <c r="D61" s="3349">
        <f>D63+D64</f>
        <v>38652000</v>
      </c>
      <c r="E61" s="3349">
        <f t="shared" ref="E61:O61" si="61">E63+E64</f>
        <v>0</v>
      </c>
      <c r="F61" s="3349">
        <f t="shared" si="61"/>
        <v>0</v>
      </c>
      <c r="G61" s="3349">
        <f t="shared" si="61"/>
        <v>0</v>
      </c>
      <c r="H61" s="3349">
        <f t="shared" si="61"/>
        <v>0</v>
      </c>
      <c r="I61" s="3349">
        <f t="shared" si="61"/>
        <v>0</v>
      </c>
      <c r="J61" s="3349">
        <f t="shared" si="61"/>
        <v>10210000</v>
      </c>
      <c r="K61" s="3349">
        <f t="shared" si="61"/>
        <v>3909955</v>
      </c>
      <c r="L61" s="3349">
        <f t="shared" si="61"/>
        <v>523144</v>
      </c>
      <c r="M61" s="3349">
        <f t="shared" si="61"/>
        <v>21462685</v>
      </c>
      <c r="N61" s="3349">
        <f t="shared" si="61"/>
        <v>6819586</v>
      </c>
      <c r="O61" s="3349">
        <f t="shared" si="61"/>
        <v>11885599</v>
      </c>
      <c r="P61" s="3349">
        <f>+P62</f>
        <v>5303716</v>
      </c>
      <c r="Q61" s="3399">
        <f t="shared" ref="Q61:W61" si="62">+Q62</f>
        <v>0</v>
      </c>
      <c r="R61" s="3399">
        <f t="shared" si="62"/>
        <v>0</v>
      </c>
      <c r="S61" s="3399">
        <f t="shared" si="62"/>
        <v>0</v>
      </c>
      <c r="T61" s="3399">
        <f t="shared" si="62"/>
        <v>0</v>
      </c>
      <c r="U61" s="3399">
        <f t="shared" si="62"/>
        <v>0</v>
      </c>
      <c r="V61" s="3399">
        <f t="shared" si="62"/>
        <v>0</v>
      </c>
      <c r="W61" s="3400">
        <f t="shared" si="62"/>
        <v>0</v>
      </c>
      <c r="X61" s="4304" t="s">
        <v>77</v>
      </c>
      <c r="Y61" s="4261"/>
      <c r="AA61" s="4296"/>
      <c r="AB61" s="4296"/>
      <c r="AC61" s="4296"/>
    </row>
    <row r="62" spans="1:29" s="3354" customFormat="1" ht="13.5" customHeight="1">
      <c r="A62" s="4272"/>
      <c r="B62" s="3418" t="s">
        <v>36</v>
      </c>
      <c r="C62" s="4297" t="s">
        <v>178</v>
      </c>
      <c r="D62" s="3356">
        <f>+D63+D64</f>
        <v>38652000</v>
      </c>
      <c r="E62" s="3356">
        <f t="shared" ref="E62:O62" si="63">+E63+E64</f>
        <v>0</v>
      </c>
      <c r="F62" s="3356">
        <f t="shared" si="63"/>
        <v>0</v>
      </c>
      <c r="G62" s="3356">
        <f t="shared" si="63"/>
        <v>0</v>
      </c>
      <c r="H62" s="3356">
        <f t="shared" si="63"/>
        <v>0</v>
      </c>
      <c r="I62" s="3356">
        <f t="shared" si="63"/>
        <v>0</v>
      </c>
      <c r="J62" s="3356">
        <f t="shared" si="63"/>
        <v>10210000</v>
      </c>
      <c r="K62" s="3356">
        <f t="shared" si="63"/>
        <v>3909955</v>
      </c>
      <c r="L62" s="3356">
        <f t="shared" si="63"/>
        <v>523144</v>
      </c>
      <c r="M62" s="3356">
        <f t="shared" si="63"/>
        <v>21462685</v>
      </c>
      <c r="N62" s="3356">
        <f t="shared" si="63"/>
        <v>6819586</v>
      </c>
      <c r="O62" s="3356">
        <f t="shared" si="63"/>
        <v>11885599</v>
      </c>
      <c r="P62" s="3356">
        <f>+P63+P64</f>
        <v>5303716</v>
      </c>
      <c r="Q62" s="3428">
        <f t="shared" ref="Q62:T62" si="64">+Q63+Q64</f>
        <v>0</v>
      </c>
      <c r="R62" s="3428">
        <f t="shared" si="64"/>
        <v>0</v>
      </c>
      <c r="S62" s="3428">
        <f t="shared" si="64"/>
        <v>0</v>
      </c>
      <c r="T62" s="3428">
        <f t="shared" si="64"/>
        <v>0</v>
      </c>
      <c r="U62" s="3428">
        <f t="shared" ref="U62:W62" si="65">+U63+U64</f>
        <v>0</v>
      </c>
      <c r="V62" s="3428">
        <f t="shared" si="65"/>
        <v>0</v>
      </c>
      <c r="W62" s="3429">
        <f t="shared" si="65"/>
        <v>0</v>
      </c>
      <c r="X62" s="4305"/>
      <c r="Y62" s="4261"/>
      <c r="AA62" s="4296"/>
      <c r="AB62" s="4296"/>
      <c r="AC62" s="4296"/>
    </row>
    <row r="63" spans="1:29" s="3354" customFormat="1" ht="13.5" customHeight="1">
      <c r="A63" s="4272"/>
      <c r="B63" s="3412" t="s">
        <v>25</v>
      </c>
      <c r="C63" s="4298"/>
      <c r="D63" s="3362">
        <f t="shared" ref="D63:D64" si="66">M63+O63+P63+Q63+R63+S63+T63+U63+V63+W63</f>
        <v>32452000</v>
      </c>
      <c r="E63" s="3377">
        <v>0</v>
      </c>
      <c r="F63" s="3377"/>
      <c r="G63" s="3377"/>
      <c r="H63" s="3377"/>
      <c r="I63" s="3377">
        <v>0</v>
      </c>
      <c r="J63" s="3377">
        <f>6920000+1145000</f>
        <v>8065000</v>
      </c>
      <c r="K63" s="3377">
        <v>1854955</v>
      </c>
      <c r="L63" s="3377">
        <v>0</v>
      </c>
      <c r="M63" s="3362">
        <f t="shared" ref="M63:M64" si="67">+L63+K63+J63+I63+E63+N63</f>
        <v>15262685</v>
      </c>
      <c r="N63" s="3377">
        <f>9342730-4000000</f>
        <v>5342730</v>
      </c>
      <c r="O63" s="3377">
        <f>7885599+4000000</f>
        <v>11885599</v>
      </c>
      <c r="P63" s="3377">
        <v>5303716</v>
      </c>
      <c r="Q63" s="3430">
        <v>0</v>
      </c>
      <c r="R63" s="3430">
        <v>0</v>
      </c>
      <c r="S63" s="3430">
        <v>0</v>
      </c>
      <c r="T63" s="3430">
        <v>0</v>
      </c>
      <c r="U63" s="3430">
        <v>0</v>
      </c>
      <c r="V63" s="3430">
        <v>0</v>
      </c>
      <c r="W63" s="3431">
        <v>0</v>
      </c>
      <c r="X63" s="4305"/>
      <c r="Y63" s="4261"/>
    </row>
    <row r="64" spans="1:29" s="3354" customFormat="1" ht="13.5" customHeight="1" thickBot="1">
      <c r="A64" s="4273"/>
      <c r="B64" s="3438" t="s">
        <v>176</v>
      </c>
      <c r="C64" s="4299"/>
      <c r="D64" s="3423">
        <f t="shared" si="66"/>
        <v>6200000</v>
      </c>
      <c r="E64" s="3423">
        <v>0</v>
      </c>
      <c r="F64" s="3423"/>
      <c r="G64" s="3423"/>
      <c r="H64" s="3423"/>
      <c r="I64" s="3423">
        <v>0</v>
      </c>
      <c r="J64" s="3423">
        <v>2145000</v>
      </c>
      <c r="K64" s="3423">
        <v>2055000</v>
      </c>
      <c r="L64" s="3423">
        <v>523144</v>
      </c>
      <c r="M64" s="3423">
        <f t="shared" si="67"/>
        <v>6200000</v>
      </c>
      <c r="N64" s="3423">
        <f>3476856-2000000</f>
        <v>1476856</v>
      </c>
      <c r="O64" s="3423">
        <v>0</v>
      </c>
      <c r="P64" s="3423">
        <v>0</v>
      </c>
      <c r="Q64" s="3439">
        <v>0</v>
      </c>
      <c r="R64" s="3439">
        <v>0</v>
      </c>
      <c r="S64" s="3439">
        <v>0</v>
      </c>
      <c r="T64" s="3439">
        <v>0</v>
      </c>
      <c r="U64" s="3439">
        <v>0</v>
      </c>
      <c r="V64" s="3439">
        <v>0</v>
      </c>
      <c r="W64" s="3440">
        <v>0</v>
      </c>
      <c r="X64" s="4306"/>
      <c r="Y64" s="4262"/>
    </row>
    <row r="65" spans="1:29" s="3354" customFormat="1" ht="42" customHeight="1">
      <c r="A65" s="4290" t="s">
        <v>81</v>
      </c>
      <c r="B65" s="3441" t="s">
        <v>521</v>
      </c>
      <c r="C65" s="3442" t="s">
        <v>98</v>
      </c>
      <c r="D65" s="3443"/>
      <c r="E65" s="3444"/>
      <c r="F65" s="3444"/>
      <c r="G65" s="3444"/>
      <c r="H65" s="3444"/>
      <c r="I65" s="3444"/>
      <c r="J65" s="3445"/>
      <c r="K65" s="3445"/>
      <c r="L65" s="3445"/>
      <c r="M65" s="3445"/>
      <c r="N65" s="3445"/>
      <c r="O65" s="3445"/>
      <c r="P65" s="3445"/>
      <c r="Q65" s="3445"/>
      <c r="R65" s="3445"/>
      <c r="S65" s="3445"/>
      <c r="T65" s="3445"/>
      <c r="U65" s="3446"/>
      <c r="V65" s="3445"/>
      <c r="W65" s="3443"/>
      <c r="X65" s="3397"/>
      <c r="Y65" s="4301" t="s">
        <v>184</v>
      </c>
      <c r="AA65" s="4296"/>
      <c r="AB65" s="4296"/>
      <c r="AC65" s="4296"/>
    </row>
    <row r="66" spans="1:29" s="3354" customFormat="1" ht="13.5" customHeight="1">
      <c r="A66" s="4300"/>
      <c r="B66" s="3347" t="s">
        <v>22</v>
      </c>
      <c r="C66" s="3379"/>
      <c r="D66" s="3349">
        <f>+D67+D70</f>
        <v>13855837</v>
      </c>
      <c r="E66" s="3349">
        <f t="shared" ref="E66:M66" si="68">+E67+E70</f>
        <v>0</v>
      </c>
      <c r="F66" s="3349">
        <f t="shared" si="68"/>
        <v>0</v>
      </c>
      <c r="G66" s="3349">
        <f t="shared" si="68"/>
        <v>0</v>
      </c>
      <c r="H66" s="3349">
        <f t="shared" si="68"/>
        <v>0</v>
      </c>
      <c r="I66" s="3349">
        <f t="shared" si="68"/>
        <v>0</v>
      </c>
      <c r="J66" s="3349">
        <f t="shared" si="68"/>
        <v>0</v>
      </c>
      <c r="K66" s="3349">
        <f t="shared" si="68"/>
        <v>0</v>
      </c>
      <c r="L66" s="3349">
        <f t="shared" si="68"/>
        <v>0</v>
      </c>
      <c r="M66" s="3349">
        <f t="shared" si="68"/>
        <v>9328248</v>
      </c>
      <c r="N66" s="3349">
        <f>+N67+N70</f>
        <v>9328248</v>
      </c>
      <c r="O66" s="3349">
        <f>+O67+O70</f>
        <v>4007995</v>
      </c>
      <c r="P66" s="3349">
        <f t="shared" ref="P66:T66" si="69">+P67+P70</f>
        <v>519594</v>
      </c>
      <c r="Q66" s="3399">
        <f t="shared" si="69"/>
        <v>0</v>
      </c>
      <c r="R66" s="3399">
        <f t="shared" si="69"/>
        <v>0</v>
      </c>
      <c r="S66" s="3399">
        <f t="shared" si="69"/>
        <v>0</v>
      </c>
      <c r="T66" s="3399">
        <f t="shared" si="69"/>
        <v>0</v>
      </c>
      <c r="U66" s="3399">
        <f t="shared" ref="U66:W66" si="70">+U67+U70</f>
        <v>0</v>
      </c>
      <c r="V66" s="3399">
        <f t="shared" si="70"/>
        <v>0</v>
      </c>
      <c r="W66" s="3400">
        <f t="shared" si="70"/>
        <v>0</v>
      </c>
      <c r="X66" s="3401">
        <f>+X67</f>
        <v>259796</v>
      </c>
      <c r="Y66" s="4301"/>
      <c r="AA66" s="4296"/>
      <c r="AB66" s="4296"/>
      <c r="AC66" s="4296"/>
    </row>
    <row r="67" spans="1:29" s="3354" customFormat="1" ht="13.5" customHeight="1">
      <c r="A67" s="4300"/>
      <c r="B67" s="3447" t="s">
        <v>36</v>
      </c>
      <c r="C67" s="4263" t="s">
        <v>178</v>
      </c>
      <c r="D67" s="3356">
        <f>+D68+D69</f>
        <v>8659898</v>
      </c>
      <c r="E67" s="3356">
        <f t="shared" ref="E67:M67" si="71">+E68+E69</f>
        <v>0</v>
      </c>
      <c r="F67" s="3356">
        <f t="shared" si="71"/>
        <v>0</v>
      </c>
      <c r="G67" s="3356">
        <f t="shared" si="71"/>
        <v>0</v>
      </c>
      <c r="H67" s="3356">
        <f t="shared" si="71"/>
        <v>0</v>
      </c>
      <c r="I67" s="3356">
        <f t="shared" si="71"/>
        <v>0</v>
      </c>
      <c r="J67" s="3356">
        <f t="shared" si="71"/>
        <v>0</v>
      </c>
      <c r="K67" s="3356">
        <f t="shared" si="71"/>
        <v>0</v>
      </c>
      <c r="L67" s="3356">
        <f t="shared" si="71"/>
        <v>0</v>
      </c>
      <c r="M67" s="3356">
        <f t="shared" si="71"/>
        <v>5198640</v>
      </c>
      <c r="N67" s="3356">
        <f>+N68+N69</f>
        <v>5198640</v>
      </c>
      <c r="O67" s="3356">
        <f>+O68+O69</f>
        <v>3201462</v>
      </c>
      <c r="P67" s="3356">
        <f t="shared" ref="P67:T67" si="72">+P68+P69</f>
        <v>259796</v>
      </c>
      <c r="Q67" s="3428">
        <f t="shared" si="72"/>
        <v>0</v>
      </c>
      <c r="R67" s="3428">
        <f t="shared" si="72"/>
        <v>0</v>
      </c>
      <c r="S67" s="3428">
        <f t="shared" si="72"/>
        <v>0</v>
      </c>
      <c r="T67" s="3428">
        <f t="shared" si="72"/>
        <v>0</v>
      </c>
      <c r="U67" s="3428">
        <f t="shared" ref="U67:W67" si="73">+U68+U69</f>
        <v>0</v>
      </c>
      <c r="V67" s="3428">
        <f t="shared" si="73"/>
        <v>0</v>
      </c>
      <c r="W67" s="3429">
        <f t="shared" si="73"/>
        <v>0</v>
      </c>
      <c r="X67" s="3406">
        <f>+X68+X69</f>
        <v>259796</v>
      </c>
      <c r="Y67" s="4301"/>
      <c r="AA67" s="4296"/>
      <c r="AB67" s="4296"/>
      <c r="AC67" s="4296"/>
    </row>
    <row r="68" spans="1:29" s="3354" customFormat="1" ht="13.5" customHeight="1">
      <c r="A68" s="4300"/>
      <c r="B68" s="3448" t="s">
        <v>183</v>
      </c>
      <c r="C68" s="4264"/>
      <c r="D68" s="3362">
        <f t="shared" ref="D68:D69" si="74">M68+O68+P68+Q68+R68+S68+T68+U68+V68+W68</f>
        <v>3463959</v>
      </c>
      <c r="E68" s="3449"/>
      <c r="F68" s="3449"/>
      <c r="G68" s="3449"/>
      <c r="H68" s="3449"/>
      <c r="I68" s="3449"/>
      <c r="J68" s="3449"/>
      <c r="K68" s="3449"/>
      <c r="L68" s="3449"/>
      <c r="M68" s="3362">
        <f t="shared" ref="M68:M69" si="75">+L68+K68+J68+I68+E68+N68</f>
        <v>2054207</v>
      </c>
      <c r="N68" s="3449">
        <f>2054207</f>
        <v>2054207</v>
      </c>
      <c r="O68" s="3449">
        <v>1409752</v>
      </c>
      <c r="P68" s="3449">
        <v>0</v>
      </c>
      <c r="Q68" s="3450">
        <v>0</v>
      </c>
      <c r="R68" s="3450">
        <v>0</v>
      </c>
      <c r="S68" s="3450">
        <v>0</v>
      </c>
      <c r="T68" s="3450">
        <v>0</v>
      </c>
      <c r="U68" s="3450">
        <v>0</v>
      </c>
      <c r="V68" s="3450">
        <v>0</v>
      </c>
      <c r="W68" s="3451">
        <v>0</v>
      </c>
      <c r="X68" s="3411">
        <f>SUM(P68:T68)</f>
        <v>0</v>
      </c>
      <c r="Y68" s="4301"/>
      <c r="AA68" s="4296"/>
      <c r="AB68" s="4296"/>
      <c r="AC68" s="4296"/>
    </row>
    <row r="69" spans="1:29" s="3354" customFormat="1" ht="13.5" customHeight="1">
      <c r="A69" s="4300"/>
      <c r="B69" s="3452" t="s">
        <v>25</v>
      </c>
      <c r="C69" s="4265"/>
      <c r="D69" s="3362">
        <f t="shared" si="74"/>
        <v>5195939</v>
      </c>
      <c r="E69" s="3453"/>
      <c r="F69" s="3453"/>
      <c r="G69" s="3453"/>
      <c r="H69" s="3453"/>
      <c r="I69" s="3453"/>
      <c r="J69" s="3453"/>
      <c r="K69" s="3453"/>
      <c r="L69" s="3453"/>
      <c r="M69" s="3362">
        <f t="shared" si="75"/>
        <v>3144433</v>
      </c>
      <c r="N69" s="3453">
        <f>4717663-1573230</f>
        <v>3144433</v>
      </c>
      <c r="O69" s="3453">
        <f>478276+1573230-259796</f>
        <v>1791710</v>
      </c>
      <c r="P69" s="3453">
        <v>259796</v>
      </c>
      <c r="Q69" s="3454">
        <v>0</v>
      </c>
      <c r="R69" s="3454">
        <v>0</v>
      </c>
      <c r="S69" s="3454">
        <v>0</v>
      </c>
      <c r="T69" s="3454">
        <v>0</v>
      </c>
      <c r="U69" s="3454">
        <v>0</v>
      </c>
      <c r="V69" s="3454">
        <v>0</v>
      </c>
      <c r="W69" s="3455">
        <v>0</v>
      </c>
      <c r="X69" s="3411">
        <f>SUM(P69:T69)</f>
        <v>259796</v>
      </c>
      <c r="Y69" s="4301"/>
      <c r="AA69" s="4296"/>
      <c r="AB69" s="4296"/>
      <c r="AC69" s="4296"/>
    </row>
    <row r="70" spans="1:29" s="3354" customFormat="1" ht="13.5" customHeight="1">
      <c r="A70" s="4300"/>
      <c r="B70" s="3456" t="s">
        <v>30</v>
      </c>
      <c r="C70" s="4266" t="s">
        <v>35</v>
      </c>
      <c r="D70" s="3457">
        <f>+D71</f>
        <v>5195939</v>
      </c>
      <c r="E70" s="3457">
        <f t="shared" ref="E70:M70" si="76">+E71</f>
        <v>0</v>
      </c>
      <c r="F70" s="3457">
        <f t="shared" si="76"/>
        <v>0</v>
      </c>
      <c r="G70" s="3457">
        <f t="shared" si="76"/>
        <v>0</v>
      </c>
      <c r="H70" s="3457">
        <f t="shared" si="76"/>
        <v>0</v>
      </c>
      <c r="I70" s="3457">
        <f t="shared" si="76"/>
        <v>0</v>
      </c>
      <c r="J70" s="3457">
        <f t="shared" si="76"/>
        <v>0</v>
      </c>
      <c r="K70" s="3457">
        <f t="shared" si="76"/>
        <v>0</v>
      </c>
      <c r="L70" s="3457">
        <f t="shared" si="76"/>
        <v>0</v>
      </c>
      <c r="M70" s="3457">
        <f t="shared" si="76"/>
        <v>4129608</v>
      </c>
      <c r="N70" s="3457">
        <f>+N71</f>
        <v>4129608</v>
      </c>
      <c r="O70" s="3457">
        <f>+O71</f>
        <v>806533</v>
      </c>
      <c r="P70" s="3457">
        <f t="shared" ref="P70:W70" si="77">+P71</f>
        <v>259798</v>
      </c>
      <c r="Q70" s="3458">
        <f t="shared" si="77"/>
        <v>0</v>
      </c>
      <c r="R70" s="3458">
        <f t="shared" si="77"/>
        <v>0</v>
      </c>
      <c r="S70" s="3458">
        <f t="shared" si="77"/>
        <v>0</v>
      </c>
      <c r="T70" s="3458">
        <f t="shared" si="77"/>
        <v>0</v>
      </c>
      <c r="U70" s="3458">
        <f t="shared" si="77"/>
        <v>0</v>
      </c>
      <c r="V70" s="3459">
        <f t="shared" si="77"/>
        <v>0</v>
      </c>
      <c r="W70" s="3458">
        <f t="shared" si="77"/>
        <v>0</v>
      </c>
      <c r="X70" s="3304" t="s">
        <v>77</v>
      </c>
      <c r="Y70" s="4301"/>
      <c r="AA70" s="4296"/>
      <c r="AB70" s="4296"/>
      <c r="AC70" s="4296"/>
    </row>
    <row r="71" spans="1:29" s="3354" customFormat="1" ht="13.5" customHeight="1">
      <c r="A71" s="4300"/>
      <c r="B71" s="3460" t="s">
        <v>48</v>
      </c>
      <c r="C71" s="4267"/>
      <c r="D71" s="3362">
        <f>M71+O71+P71+Q71+R71+S71+T71+U71+V71+W71</f>
        <v>5195939</v>
      </c>
      <c r="E71" s="3461"/>
      <c r="F71" s="3462"/>
      <c r="G71" s="3462"/>
      <c r="H71" s="3462"/>
      <c r="I71" s="3462"/>
      <c r="J71" s="3462"/>
      <c r="K71" s="3462"/>
      <c r="L71" s="3462"/>
      <c r="M71" s="3362">
        <f>+L71+K71+J71+I71+E71+N71</f>
        <v>4129608</v>
      </c>
      <c r="N71" s="3453">
        <f>4717663-588055</f>
        <v>4129608</v>
      </c>
      <c r="O71" s="3453">
        <f>478276+588055-259798</f>
        <v>806533</v>
      </c>
      <c r="P71" s="3453">
        <v>259798</v>
      </c>
      <c r="Q71" s="3463">
        <v>0</v>
      </c>
      <c r="R71" s="3463">
        <v>0</v>
      </c>
      <c r="S71" s="3463">
        <v>0</v>
      </c>
      <c r="T71" s="3463">
        <v>0</v>
      </c>
      <c r="U71" s="3463">
        <v>0</v>
      </c>
      <c r="V71" s="3463">
        <v>0</v>
      </c>
      <c r="W71" s="3464">
        <v>0</v>
      </c>
      <c r="X71" s="3416" t="s">
        <v>77</v>
      </c>
      <c r="Y71" s="4301"/>
      <c r="AA71" s="4296"/>
      <c r="AB71" s="4296"/>
      <c r="AC71" s="4296"/>
    </row>
    <row r="72" spans="1:29" s="3354" customFormat="1" ht="13.5" customHeight="1">
      <c r="A72" s="4300"/>
      <c r="B72" s="3347" t="s">
        <v>34</v>
      </c>
      <c r="C72" s="3465"/>
      <c r="D72" s="3349">
        <f>+D73+D75</f>
        <v>10391878</v>
      </c>
      <c r="E72" s="3349">
        <f t="shared" ref="E72:L72" si="78">E74+E76</f>
        <v>0</v>
      </c>
      <c r="F72" s="3349">
        <f t="shared" si="78"/>
        <v>0</v>
      </c>
      <c r="G72" s="3349">
        <f t="shared" si="78"/>
        <v>0</v>
      </c>
      <c r="H72" s="3349">
        <f t="shared" si="78"/>
        <v>0</v>
      </c>
      <c r="I72" s="3349">
        <f t="shared" si="78"/>
        <v>0</v>
      </c>
      <c r="J72" s="3349">
        <f t="shared" si="78"/>
        <v>0</v>
      </c>
      <c r="K72" s="3349">
        <f t="shared" si="78"/>
        <v>0</v>
      </c>
      <c r="L72" s="3349">
        <f t="shared" si="78"/>
        <v>0</v>
      </c>
      <c r="M72" s="3349">
        <f>+M73+M75</f>
        <v>7274041</v>
      </c>
      <c r="N72" s="3349">
        <f>N74+N76</f>
        <v>7274041</v>
      </c>
      <c r="O72" s="3349">
        <f>+O73+O75</f>
        <v>2598243</v>
      </c>
      <c r="P72" s="3349">
        <f>+P73+P75</f>
        <v>519594</v>
      </c>
      <c r="Q72" s="3399">
        <f t="shared" ref="Q72:T72" si="79">Q74+Q76</f>
        <v>0</v>
      </c>
      <c r="R72" s="3399">
        <f t="shared" si="79"/>
        <v>0</v>
      </c>
      <c r="S72" s="3399">
        <f t="shared" si="79"/>
        <v>0</v>
      </c>
      <c r="T72" s="3399">
        <f t="shared" si="79"/>
        <v>0</v>
      </c>
      <c r="U72" s="3399">
        <f t="shared" ref="U72:W72" si="80">U74+U76</f>
        <v>0</v>
      </c>
      <c r="V72" s="3399">
        <f t="shared" si="80"/>
        <v>0</v>
      </c>
      <c r="W72" s="3400">
        <f t="shared" si="80"/>
        <v>0</v>
      </c>
      <c r="X72" s="4269" t="s">
        <v>77</v>
      </c>
      <c r="Y72" s="4301"/>
      <c r="AA72" s="4296"/>
      <c r="AB72" s="4296"/>
      <c r="AC72" s="4296"/>
    </row>
    <row r="73" spans="1:29" s="3354" customFormat="1" ht="13.5" customHeight="1">
      <c r="A73" s="4300"/>
      <c r="B73" s="3447" t="s">
        <v>36</v>
      </c>
      <c r="C73" s="4297" t="s">
        <v>102</v>
      </c>
      <c r="D73" s="3356">
        <f>+D74</f>
        <v>5195939</v>
      </c>
      <c r="E73" s="3356">
        <f t="shared" ref="E73:L73" si="81">+E74+E76</f>
        <v>0</v>
      </c>
      <c r="F73" s="3356">
        <f t="shared" si="81"/>
        <v>0</v>
      </c>
      <c r="G73" s="3356">
        <f t="shared" si="81"/>
        <v>0</v>
      </c>
      <c r="H73" s="3356">
        <f t="shared" si="81"/>
        <v>0</v>
      </c>
      <c r="I73" s="3356">
        <f t="shared" si="81"/>
        <v>0</v>
      </c>
      <c r="J73" s="3356">
        <f t="shared" si="81"/>
        <v>0</v>
      </c>
      <c r="K73" s="3356">
        <f t="shared" si="81"/>
        <v>0</v>
      </c>
      <c r="L73" s="3356">
        <f t="shared" si="81"/>
        <v>0</v>
      </c>
      <c r="M73" s="3356">
        <f>+M74</f>
        <v>3144433</v>
      </c>
      <c r="N73" s="3356">
        <f>+N74</f>
        <v>3144433</v>
      </c>
      <c r="O73" s="3356">
        <f>+O74</f>
        <v>1791710</v>
      </c>
      <c r="P73" s="3356">
        <f>+P74</f>
        <v>259796</v>
      </c>
      <c r="Q73" s="3428">
        <f t="shared" ref="Q73:T73" si="82">+Q74+Q76</f>
        <v>0</v>
      </c>
      <c r="R73" s="3428">
        <f t="shared" si="82"/>
        <v>0</v>
      </c>
      <c r="S73" s="3428">
        <f t="shared" si="82"/>
        <v>0</v>
      </c>
      <c r="T73" s="3428">
        <f t="shared" si="82"/>
        <v>0</v>
      </c>
      <c r="U73" s="3428">
        <f t="shared" ref="U73:W73" si="83">+U74+U76</f>
        <v>0</v>
      </c>
      <c r="V73" s="3428">
        <f t="shared" si="83"/>
        <v>0</v>
      </c>
      <c r="W73" s="3429">
        <f t="shared" si="83"/>
        <v>0</v>
      </c>
      <c r="X73" s="4269"/>
      <c r="Y73" s="4301"/>
      <c r="AA73" s="4296"/>
      <c r="AB73" s="4296"/>
      <c r="AC73" s="4296"/>
    </row>
    <row r="74" spans="1:29" s="3354" customFormat="1" ht="13.5" customHeight="1">
      <c r="A74" s="4300"/>
      <c r="B74" s="3448" t="s">
        <v>25</v>
      </c>
      <c r="C74" s="4303"/>
      <c r="D74" s="3362">
        <f>M74+O74+P74+Q74+R74+S74+T74+U74+V74+W74</f>
        <v>5195939</v>
      </c>
      <c r="E74" s="3449"/>
      <c r="F74" s="3449"/>
      <c r="G74" s="3449"/>
      <c r="H74" s="3449"/>
      <c r="I74" s="3449"/>
      <c r="J74" s="3449"/>
      <c r="K74" s="3449"/>
      <c r="L74" s="3449"/>
      <c r="M74" s="3362">
        <f>+L74+K74+J74+I74+E74+N74</f>
        <v>3144433</v>
      </c>
      <c r="N74" s="3449">
        <f>4717663-1573230</f>
        <v>3144433</v>
      </c>
      <c r="O74" s="3449">
        <f>478276+1573230-259796</f>
        <v>1791710</v>
      </c>
      <c r="P74" s="3449">
        <v>259796</v>
      </c>
      <c r="Q74" s="3450">
        <v>0</v>
      </c>
      <c r="R74" s="3450">
        <v>0</v>
      </c>
      <c r="S74" s="3450">
        <v>0</v>
      </c>
      <c r="T74" s="3450">
        <v>0</v>
      </c>
      <c r="U74" s="3466">
        <v>0</v>
      </c>
      <c r="V74" s="3450">
        <v>0</v>
      </c>
      <c r="W74" s="3451">
        <v>0</v>
      </c>
      <c r="X74" s="4269"/>
      <c r="Y74" s="4301"/>
    </row>
    <row r="75" spans="1:29" s="3354" customFormat="1" ht="13.5" customHeight="1">
      <c r="A75" s="3467"/>
      <c r="B75" s="3456" t="s">
        <v>30</v>
      </c>
      <c r="C75" s="3468"/>
      <c r="D75" s="3469">
        <f>+D76</f>
        <v>5195939</v>
      </c>
      <c r="E75" s="3469">
        <f t="shared" ref="E75:M75" si="84">+E76</f>
        <v>0</v>
      </c>
      <c r="F75" s="3469">
        <f t="shared" si="84"/>
        <v>0</v>
      </c>
      <c r="G75" s="3469">
        <f t="shared" si="84"/>
        <v>0</v>
      </c>
      <c r="H75" s="3469">
        <f t="shared" si="84"/>
        <v>0</v>
      </c>
      <c r="I75" s="3469">
        <f t="shared" si="84"/>
        <v>0</v>
      </c>
      <c r="J75" s="3469">
        <f t="shared" si="84"/>
        <v>0</v>
      </c>
      <c r="K75" s="3469">
        <f t="shared" si="84"/>
        <v>0</v>
      </c>
      <c r="L75" s="3469">
        <f t="shared" si="84"/>
        <v>0</v>
      </c>
      <c r="M75" s="3469">
        <f t="shared" si="84"/>
        <v>4129608</v>
      </c>
      <c r="N75" s="3469">
        <f>+N76</f>
        <v>4129608</v>
      </c>
      <c r="O75" s="3469">
        <f>+O76</f>
        <v>806533</v>
      </c>
      <c r="P75" s="3469">
        <f t="shared" ref="P75:W75" si="85">+P76</f>
        <v>259798</v>
      </c>
      <c r="Q75" s="3470">
        <f t="shared" si="85"/>
        <v>0</v>
      </c>
      <c r="R75" s="3470">
        <f t="shared" si="85"/>
        <v>0</v>
      </c>
      <c r="S75" s="3470">
        <f t="shared" si="85"/>
        <v>0</v>
      </c>
      <c r="T75" s="3470">
        <f t="shared" si="85"/>
        <v>0</v>
      </c>
      <c r="U75" s="3470">
        <f t="shared" si="85"/>
        <v>0</v>
      </c>
      <c r="V75" s="3470">
        <f t="shared" si="85"/>
        <v>0</v>
      </c>
      <c r="W75" s="3471">
        <f t="shared" si="85"/>
        <v>0</v>
      </c>
      <c r="X75" s="4269"/>
      <c r="Y75" s="4301"/>
    </row>
    <row r="76" spans="1:29" s="3354" customFormat="1" ht="13.5" customHeight="1" thickBot="1">
      <c r="A76" s="3472"/>
      <c r="B76" s="3448" t="s">
        <v>48</v>
      </c>
      <c r="C76" s="3473" t="s">
        <v>35</v>
      </c>
      <c r="D76" s="3362">
        <f>M76+O76+P76+Q76+R76+S76+T76+U76+V76+W76</f>
        <v>5195939</v>
      </c>
      <c r="E76" s="3474"/>
      <c r="F76" s="3474"/>
      <c r="G76" s="3474"/>
      <c r="H76" s="3474"/>
      <c r="I76" s="3474"/>
      <c r="J76" s="3474"/>
      <c r="K76" s="3474"/>
      <c r="L76" s="3474"/>
      <c r="M76" s="3362">
        <f>+L76+K76+J76+I76+E76+N76</f>
        <v>4129608</v>
      </c>
      <c r="N76" s="3474">
        <f>4717663-588055</f>
        <v>4129608</v>
      </c>
      <c r="O76" s="3474">
        <f>478276+588055-259798</f>
        <v>806533</v>
      </c>
      <c r="P76" s="3474">
        <v>259798</v>
      </c>
      <c r="Q76" s="3475">
        <v>0</v>
      </c>
      <c r="R76" s="3475">
        <v>0</v>
      </c>
      <c r="S76" s="3475">
        <v>0</v>
      </c>
      <c r="T76" s="3475">
        <v>0</v>
      </c>
      <c r="U76" s="3475">
        <v>0</v>
      </c>
      <c r="V76" s="3475">
        <v>0</v>
      </c>
      <c r="W76" s="3476">
        <v>0</v>
      </c>
      <c r="X76" s="4270"/>
      <c r="Y76" s="4302"/>
    </row>
    <row r="77" spans="1:29" s="3354" customFormat="1" ht="30" customHeight="1">
      <c r="A77" s="4289" t="s">
        <v>82</v>
      </c>
      <c r="B77" s="3426" t="s">
        <v>448</v>
      </c>
      <c r="C77" s="3341" t="s">
        <v>131</v>
      </c>
      <c r="D77" s="3390"/>
      <c r="E77" s="3427"/>
      <c r="F77" s="3427"/>
      <c r="G77" s="3427"/>
      <c r="H77" s="3427"/>
      <c r="I77" s="3427"/>
      <c r="J77" s="3391"/>
      <c r="K77" s="3391"/>
      <c r="L77" s="3391"/>
      <c r="M77" s="3391"/>
      <c r="N77" s="3391"/>
      <c r="O77" s="3391"/>
      <c r="P77" s="3391"/>
      <c r="Q77" s="3391"/>
      <c r="R77" s="3391"/>
      <c r="S77" s="3391"/>
      <c r="T77" s="3391"/>
      <c r="U77" s="3391"/>
      <c r="V77" s="3391"/>
      <c r="W77" s="3390"/>
      <c r="X77" s="3393"/>
      <c r="Y77" s="4286" t="s">
        <v>185</v>
      </c>
    </row>
    <row r="78" spans="1:29" s="3354" customFormat="1" ht="13.5" customHeight="1">
      <c r="A78" s="4290"/>
      <c r="B78" s="3378" t="s">
        <v>22</v>
      </c>
      <c r="C78" s="3379"/>
      <c r="D78" s="3349">
        <f>+D79</f>
        <v>5000000</v>
      </c>
      <c r="E78" s="3349">
        <f>+E79</f>
        <v>0</v>
      </c>
      <c r="F78" s="3349">
        <f t="shared" ref="F78:W78" si="86">+F79</f>
        <v>0</v>
      </c>
      <c r="G78" s="3349">
        <f t="shared" si="86"/>
        <v>0</v>
      </c>
      <c r="H78" s="3349">
        <f t="shared" si="86"/>
        <v>0</v>
      </c>
      <c r="I78" s="3349">
        <f t="shared" si="86"/>
        <v>0</v>
      </c>
      <c r="J78" s="3349">
        <f t="shared" si="86"/>
        <v>0</v>
      </c>
      <c r="K78" s="3349">
        <f t="shared" si="86"/>
        <v>0</v>
      </c>
      <c r="L78" s="3349">
        <f t="shared" si="86"/>
        <v>0</v>
      </c>
      <c r="M78" s="3349">
        <f t="shared" si="86"/>
        <v>0</v>
      </c>
      <c r="N78" s="3349">
        <f t="shared" si="86"/>
        <v>0</v>
      </c>
      <c r="O78" s="3349">
        <f t="shared" si="86"/>
        <v>0</v>
      </c>
      <c r="P78" s="3349">
        <f t="shared" si="86"/>
        <v>1819380</v>
      </c>
      <c r="Q78" s="3349">
        <f t="shared" si="86"/>
        <v>1361176</v>
      </c>
      <c r="R78" s="3349">
        <f t="shared" si="86"/>
        <v>1819444</v>
      </c>
      <c r="S78" s="3399">
        <f t="shared" si="86"/>
        <v>0</v>
      </c>
      <c r="T78" s="3399">
        <f t="shared" si="86"/>
        <v>0</v>
      </c>
      <c r="U78" s="3399">
        <f t="shared" si="86"/>
        <v>0</v>
      </c>
      <c r="V78" s="3399">
        <f t="shared" si="86"/>
        <v>0</v>
      </c>
      <c r="W78" s="3400">
        <f t="shared" si="86"/>
        <v>0</v>
      </c>
      <c r="X78" s="3401">
        <f>+X79</f>
        <v>5000000</v>
      </c>
      <c r="Y78" s="4287"/>
    </row>
    <row r="79" spans="1:29" s="3354" customFormat="1" ht="13.5" customHeight="1">
      <c r="A79" s="4290"/>
      <c r="B79" s="3402" t="s">
        <v>36</v>
      </c>
      <c r="C79" s="4279" t="s">
        <v>186</v>
      </c>
      <c r="D79" s="3356">
        <f>+D80+D81</f>
        <v>5000000</v>
      </c>
      <c r="E79" s="3356">
        <f>+E80+E81</f>
        <v>0</v>
      </c>
      <c r="F79" s="3356"/>
      <c r="G79" s="3356"/>
      <c r="H79" s="3356"/>
      <c r="I79" s="3356">
        <f>+I80+I81</f>
        <v>0</v>
      </c>
      <c r="J79" s="3356">
        <f t="shared" ref="J79:T79" si="87">+J80+J81</f>
        <v>0</v>
      </c>
      <c r="K79" s="3356">
        <f t="shared" si="87"/>
        <v>0</v>
      </c>
      <c r="L79" s="3356">
        <f t="shared" si="87"/>
        <v>0</v>
      </c>
      <c r="M79" s="3356">
        <f t="shared" ref="M79" si="88">+M80+M81</f>
        <v>0</v>
      </c>
      <c r="N79" s="3356">
        <f t="shared" si="87"/>
        <v>0</v>
      </c>
      <c r="O79" s="3356">
        <f t="shared" si="87"/>
        <v>0</v>
      </c>
      <c r="P79" s="3356">
        <f t="shared" si="87"/>
        <v>1819380</v>
      </c>
      <c r="Q79" s="3356">
        <f t="shared" si="87"/>
        <v>1361176</v>
      </c>
      <c r="R79" s="3356">
        <f t="shared" si="87"/>
        <v>1819444</v>
      </c>
      <c r="S79" s="3428">
        <f t="shared" si="87"/>
        <v>0</v>
      </c>
      <c r="T79" s="3428">
        <f t="shared" si="87"/>
        <v>0</v>
      </c>
      <c r="U79" s="3428">
        <f t="shared" ref="U79:V79" si="89">+U80+U81</f>
        <v>0</v>
      </c>
      <c r="V79" s="3428">
        <f t="shared" si="89"/>
        <v>0</v>
      </c>
      <c r="W79" s="3429">
        <f t="shared" ref="W79" si="90">+W80+W81</f>
        <v>0</v>
      </c>
      <c r="X79" s="3477">
        <f>+X80+X81</f>
        <v>5000000</v>
      </c>
      <c r="Y79" s="4287"/>
    </row>
    <row r="80" spans="1:29" s="3354" customFormat="1" ht="13.5" hidden="1" customHeight="1">
      <c r="A80" s="4290"/>
      <c r="B80" s="3407" t="s">
        <v>179</v>
      </c>
      <c r="C80" s="4280"/>
      <c r="D80" s="3362">
        <f>M80+O80+P80+Q80+R80+S80+T80+U80+V80+W80</f>
        <v>0</v>
      </c>
      <c r="E80" s="3449">
        <v>0</v>
      </c>
      <c r="F80" s="3449">
        <v>0</v>
      </c>
      <c r="G80" s="3449">
        <v>0</v>
      </c>
      <c r="H80" s="3362">
        <v>0</v>
      </c>
      <c r="I80" s="3449">
        <v>0</v>
      </c>
      <c r="J80" s="3449">
        <v>0</v>
      </c>
      <c r="K80" s="3449">
        <v>0</v>
      </c>
      <c r="L80" s="3449">
        <v>0</v>
      </c>
      <c r="M80" s="3362">
        <f>+L80+K80+J80+I80+E80+N80</f>
        <v>0</v>
      </c>
      <c r="N80" s="3449">
        <v>0</v>
      </c>
      <c r="O80" s="3449">
        <v>0</v>
      </c>
      <c r="P80" s="3449">
        <v>0</v>
      </c>
      <c r="Q80" s="3449">
        <v>0</v>
      </c>
      <c r="R80" s="3449">
        <v>0</v>
      </c>
      <c r="S80" s="3450">
        <v>0</v>
      </c>
      <c r="T80" s="3450">
        <v>0</v>
      </c>
      <c r="U80" s="3450">
        <v>0</v>
      </c>
      <c r="V80" s="3450">
        <v>0</v>
      </c>
      <c r="W80" s="3451">
        <v>0</v>
      </c>
      <c r="X80" s="3478">
        <v>0</v>
      </c>
      <c r="Y80" s="4287"/>
    </row>
    <row r="81" spans="1:28" s="3354" customFormat="1" ht="13.5" customHeight="1" thickBot="1">
      <c r="A81" s="4291"/>
      <c r="B81" s="3479" t="s">
        <v>187</v>
      </c>
      <c r="C81" s="4280"/>
      <c r="D81" s="3362">
        <f>M81+O81+P81+Q81+R81+S81+T81+U81+V81+W81</f>
        <v>5000000</v>
      </c>
      <c r="E81" s="3423">
        <v>0</v>
      </c>
      <c r="F81" s="3423">
        <v>0</v>
      </c>
      <c r="G81" s="3423"/>
      <c r="H81" s="3424"/>
      <c r="I81" s="3423">
        <v>0</v>
      </c>
      <c r="J81" s="3423">
        <v>0</v>
      </c>
      <c r="K81" s="3423">
        <v>0</v>
      </c>
      <c r="L81" s="3423">
        <v>0</v>
      </c>
      <c r="M81" s="3362">
        <f>+L81+K81+J81+I81+E81+N81</f>
        <v>0</v>
      </c>
      <c r="N81" s="3423">
        <v>0</v>
      </c>
      <c r="O81" s="3423">
        <v>0</v>
      </c>
      <c r="P81" s="3423">
        <v>1819380</v>
      </c>
      <c r="Q81" s="3423">
        <v>1361176</v>
      </c>
      <c r="R81" s="3423">
        <v>1819444</v>
      </c>
      <c r="S81" s="3439">
        <v>0</v>
      </c>
      <c r="T81" s="3439">
        <v>0</v>
      </c>
      <c r="U81" s="3439">
        <v>0</v>
      </c>
      <c r="V81" s="3439">
        <v>0</v>
      </c>
      <c r="W81" s="3440">
        <v>0</v>
      </c>
      <c r="X81" s="3369">
        <f>SUM(P81:W81)</f>
        <v>5000000</v>
      </c>
      <c r="Y81" s="4288"/>
    </row>
    <row r="82" spans="1:28" s="3354" customFormat="1" ht="27" customHeight="1">
      <c r="A82" s="4289" t="s">
        <v>83</v>
      </c>
      <c r="B82" s="3480" t="s">
        <v>188</v>
      </c>
      <c r="C82" s="3341" t="s">
        <v>131</v>
      </c>
      <c r="D82" s="3390"/>
      <c r="E82" s="3427"/>
      <c r="F82" s="3427">
        <v>0</v>
      </c>
      <c r="G82" s="3427"/>
      <c r="H82" s="3427"/>
      <c r="I82" s="3427"/>
      <c r="J82" s="3391"/>
      <c r="K82" s="3391"/>
      <c r="L82" s="3391"/>
      <c r="M82" s="3391"/>
      <c r="N82" s="3391"/>
      <c r="O82" s="3391"/>
      <c r="P82" s="3391"/>
      <c r="Q82" s="3391"/>
      <c r="R82" s="3391"/>
      <c r="S82" s="3391"/>
      <c r="T82" s="3391"/>
      <c r="U82" s="3391"/>
      <c r="V82" s="3392"/>
      <c r="W82" s="3390"/>
      <c r="X82" s="3393"/>
      <c r="Y82" s="4286" t="s">
        <v>189</v>
      </c>
    </row>
    <row r="83" spans="1:28" s="3354" customFormat="1" ht="13.5" customHeight="1">
      <c r="A83" s="4290"/>
      <c r="B83" s="3378" t="s">
        <v>22</v>
      </c>
      <c r="C83" s="3379"/>
      <c r="D83" s="3349">
        <f>+D84</f>
        <v>2900000</v>
      </c>
      <c r="E83" s="3349">
        <f>+E84</f>
        <v>637500</v>
      </c>
      <c r="F83" s="3349">
        <f t="shared" ref="F83:X83" si="91">+F84</f>
        <v>0</v>
      </c>
      <c r="G83" s="3349">
        <f t="shared" si="91"/>
        <v>0</v>
      </c>
      <c r="H83" s="3349">
        <f t="shared" si="91"/>
        <v>0</v>
      </c>
      <c r="I83" s="3349">
        <f t="shared" si="91"/>
        <v>306000</v>
      </c>
      <c r="J83" s="3349">
        <f t="shared" si="91"/>
        <v>306000</v>
      </c>
      <c r="K83" s="3349">
        <f t="shared" si="91"/>
        <v>306000</v>
      </c>
      <c r="L83" s="3349">
        <f t="shared" si="91"/>
        <v>306000</v>
      </c>
      <c r="M83" s="3349">
        <f t="shared" si="91"/>
        <v>2167500</v>
      </c>
      <c r="N83" s="3349">
        <f t="shared" si="91"/>
        <v>306000</v>
      </c>
      <c r="O83" s="3349">
        <f t="shared" si="91"/>
        <v>306000</v>
      </c>
      <c r="P83" s="3349">
        <f t="shared" si="91"/>
        <v>306000</v>
      </c>
      <c r="Q83" s="3349">
        <f t="shared" si="91"/>
        <v>120500</v>
      </c>
      <c r="R83" s="3399">
        <v>0</v>
      </c>
      <c r="S83" s="3399">
        <v>0</v>
      </c>
      <c r="T83" s="3399">
        <v>0</v>
      </c>
      <c r="U83" s="3399">
        <v>0</v>
      </c>
      <c r="V83" s="3400">
        <v>0</v>
      </c>
      <c r="W83" s="3400">
        <v>0</v>
      </c>
      <c r="X83" s="3401">
        <f t="shared" si="91"/>
        <v>426500</v>
      </c>
      <c r="Y83" s="4287"/>
      <c r="AA83" s="3367"/>
    </row>
    <row r="84" spans="1:28" s="3354" customFormat="1" ht="13.5" customHeight="1">
      <c r="A84" s="4290"/>
      <c r="B84" s="3402" t="s">
        <v>36</v>
      </c>
      <c r="C84" s="4279" t="s">
        <v>186</v>
      </c>
      <c r="D84" s="3356">
        <f>+D85+D86</f>
        <v>2900000</v>
      </c>
      <c r="E84" s="3356">
        <f>+E85</f>
        <v>637500</v>
      </c>
      <c r="F84" s="3356">
        <f>+F86</f>
        <v>0</v>
      </c>
      <c r="G84" s="3356">
        <f>+G86</f>
        <v>0</v>
      </c>
      <c r="H84" s="3356">
        <f>+H86</f>
        <v>0</v>
      </c>
      <c r="I84" s="3356">
        <f>+I85+I86</f>
        <v>306000</v>
      </c>
      <c r="J84" s="3356">
        <f>+J85+J86</f>
        <v>306000</v>
      </c>
      <c r="K84" s="3356">
        <f>+K85+K86</f>
        <v>306000</v>
      </c>
      <c r="L84" s="3356">
        <f>+L85</f>
        <v>306000</v>
      </c>
      <c r="M84" s="3356">
        <f>+M85</f>
        <v>2167500</v>
      </c>
      <c r="N84" s="3356">
        <f>+N85+N86</f>
        <v>306000</v>
      </c>
      <c r="O84" s="3356">
        <f>+O85+O86</f>
        <v>306000</v>
      </c>
      <c r="P84" s="3356">
        <f>+P86</f>
        <v>306000</v>
      </c>
      <c r="Q84" s="3356">
        <f>+Q86</f>
        <v>120500</v>
      </c>
      <c r="R84" s="3428">
        <v>0</v>
      </c>
      <c r="S84" s="3428">
        <v>0</v>
      </c>
      <c r="T84" s="3428">
        <v>0</v>
      </c>
      <c r="U84" s="3428">
        <v>0</v>
      </c>
      <c r="V84" s="3428">
        <v>0</v>
      </c>
      <c r="W84" s="3429">
        <v>0</v>
      </c>
      <c r="X84" s="3477">
        <f>+X86</f>
        <v>426500</v>
      </c>
      <c r="Y84" s="4287"/>
    </row>
    <row r="85" spans="1:28" s="3354" customFormat="1" ht="13.5" customHeight="1">
      <c r="A85" s="4290"/>
      <c r="B85" s="3407" t="s">
        <v>179</v>
      </c>
      <c r="C85" s="4280"/>
      <c r="D85" s="3362">
        <f t="shared" ref="D85:D86" si="92">M85+O85+P85+Q85+R85+S85+T85+U85+V85+W85</f>
        <v>2473500</v>
      </c>
      <c r="E85" s="3449">
        <v>637500</v>
      </c>
      <c r="F85" s="3449"/>
      <c r="G85" s="3449"/>
      <c r="H85" s="3449"/>
      <c r="I85" s="3449">
        <v>306000</v>
      </c>
      <c r="J85" s="3449">
        <v>306000</v>
      </c>
      <c r="K85" s="3449">
        <v>306000</v>
      </c>
      <c r="L85" s="3449">
        <v>306000</v>
      </c>
      <c r="M85" s="3362">
        <f>+L85+K85+J85+I85+E85+N85</f>
        <v>2167500</v>
      </c>
      <c r="N85" s="3449">
        <v>306000</v>
      </c>
      <c r="O85" s="3453">
        <v>306000</v>
      </c>
      <c r="P85" s="3449">
        <v>0</v>
      </c>
      <c r="Q85" s="3449">
        <v>0</v>
      </c>
      <c r="R85" s="3450">
        <v>0</v>
      </c>
      <c r="S85" s="3450">
        <v>0</v>
      </c>
      <c r="T85" s="3450">
        <v>0</v>
      </c>
      <c r="U85" s="3450">
        <v>0</v>
      </c>
      <c r="V85" s="3450">
        <v>0</v>
      </c>
      <c r="W85" s="3451">
        <v>0</v>
      </c>
      <c r="X85" s="3478">
        <v>0</v>
      </c>
      <c r="Y85" s="4287"/>
    </row>
    <row r="86" spans="1:28" s="3354" customFormat="1" ht="13.5" customHeight="1" thickBot="1">
      <c r="A86" s="4291"/>
      <c r="B86" s="3479" t="s">
        <v>187</v>
      </c>
      <c r="C86" s="4280"/>
      <c r="D86" s="3362">
        <f t="shared" si="92"/>
        <v>426500</v>
      </c>
      <c r="E86" s="3474">
        <v>0</v>
      </c>
      <c r="F86" s="3474">
        <v>0</v>
      </c>
      <c r="G86" s="3474">
        <v>0</v>
      </c>
      <c r="H86" s="3474"/>
      <c r="I86" s="3474">
        <v>0</v>
      </c>
      <c r="J86" s="3474">
        <v>0</v>
      </c>
      <c r="K86" s="3474">
        <v>0</v>
      </c>
      <c r="L86" s="3474">
        <v>0</v>
      </c>
      <c r="M86" s="3362">
        <f>+L86+K86+J86+I86+E86+N86</f>
        <v>0</v>
      </c>
      <c r="N86" s="3474">
        <v>0</v>
      </c>
      <c r="O86" s="3481">
        <v>0</v>
      </c>
      <c r="P86" s="3474">
        <v>306000</v>
      </c>
      <c r="Q86" s="3474">
        <v>120500</v>
      </c>
      <c r="R86" s="3475">
        <v>0</v>
      </c>
      <c r="S86" s="3475">
        <v>0</v>
      </c>
      <c r="T86" s="3475">
        <v>0</v>
      </c>
      <c r="U86" s="3475">
        <v>0</v>
      </c>
      <c r="V86" s="3475">
        <v>0</v>
      </c>
      <c r="W86" s="3476">
        <v>0</v>
      </c>
      <c r="X86" s="3369">
        <f>SUM(P86:W86)</f>
        <v>426500</v>
      </c>
      <c r="Y86" s="4288"/>
      <c r="AB86" s="3367"/>
    </row>
    <row r="87" spans="1:28" s="3354" customFormat="1" ht="29.25" customHeight="1">
      <c r="A87" s="4289" t="s">
        <v>140</v>
      </c>
      <c r="B87" s="3426" t="s">
        <v>503</v>
      </c>
      <c r="C87" s="3341" t="s">
        <v>131</v>
      </c>
      <c r="D87" s="3390"/>
      <c r="E87" s="3427"/>
      <c r="F87" s="3427"/>
      <c r="G87" s="3427"/>
      <c r="H87" s="3427"/>
      <c r="I87" s="3427"/>
      <c r="J87" s="3391"/>
      <c r="K87" s="3391"/>
      <c r="L87" s="3391"/>
      <c r="M87" s="3391"/>
      <c r="N87" s="3391"/>
      <c r="O87" s="3391"/>
      <c r="P87" s="3391"/>
      <c r="Q87" s="3391"/>
      <c r="R87" s="3391"/>
      <c r="S87" s="3391"/>
      <c r="T87" s="3391"/>
      <c r="U87" s="3391"/>
      <c r="V87" s="3391"/>
      <c r="W87" s="3390"/>
      <c r="X87" s="3393"/>
      <c r="Y87" s="4286" t="s">
        <v>185</v>
      </c>
    </row>
    <row r="88" spans="1:28" s="3354" customFormat="1" ht="13.5" customHeight="1">
      <c r="A88" s="4290"/>
      <c r="B88" s="3378" t="s">
        <v>22</v>
      </c>
      <c r="C88" s="3379"/>
      <c r="D88" s="3349">
        <f>+D89</f>
        <v>8000000</v>
      </c>
      <c r="E88" s="3349">
        <f>+E89</f>
        <v>0</v>
      </c>
      <c r="F88" s="3349">
        <f t="shared" ref="F88:X88" si="93">+F89</f>
        <v>0</v>
      </c>
      <c r="G88" s="3349">
        <f t="shared" si="93"/>
        <v>0</v>
      </c>
      <c r="H88" s="3349">
        <f t="shared" si="93"/>
        <v>0</v>
      </c>
      <c r="I88" s="3349">
        <f t="shared" si="93"/>
        <v>0</v>
      </c>
      <c r="J88" s="3349">
        <f t="shared" si="93"/>
        <v>0</v>
      </c>
      <c r="K88" s="3349">
        <f t="shared" si="93"/>
        <v>0</v>
      </c>
      <c r="L88" s="3349">
        <f t="shared" si="93"/>
        <v>0</v>
      </c>
      <c r="M88" s="3349">
        <f t="shared" si="93"/>
        <v>480000</v>
      </c>
      <c r="N88" s="3349">
        <f t="shared" si="93"/>
        <v>480000</v>
      </c>
      <c r="O88" s="3349">
        <f t="shared" si="93"/>
        <v>100000</v>
      </c>
      <c r="P88" s="3349">
        <f t="shared" si="93"/>
        <v>1080000</v>
      </c>
      <c r="Q88" s="3349">
        <f t="shared" si="93"/>
        <v>1080000</v>
      </c>
      <c r="R88" s="3349">
        <f t="shared" si="93"/>
        <v>1080000</v>
      </c>
      <c r="S88" s="3349">
        <f t="shared" si="93"/>
        <v>1080000</v>
      </c>
      <c r="T88" s="3349">
        <f t="shared" si="93"/>
        <v>1080000</v>
      </c>
      <c r="U88" s="3349">
        <f t="shared" si="93"/>
        <v>1080000</v>
      </c>
      <c r="V88" s="3349">
        <f t="shared" si="93"/>
        <v>940000</v>
      </c>
      <c r="W88" s="3482">
        <f t="shared" si="93"/>
        <v>0</v>
      </c>
      <c r="X88" s="3401">
        <f t="shared" si="93"/>
        <v>7420000</v>
      </c>
      <c r="Y88" s="4287"/>
    </row>
    <row r="89" spans="1:28" s="3485" customFormat="1" ht="13.5" customHeight="1">
      <c r="A89" s="4290"/>
      <c r="B89" s="3355" t="s">
        <v>36</v>
      </c>
      <c r="C89" s="4279" t="s">
        <v>186</v>
      </c>
      <c r="D89" s="3483">
        <f>+D90+D91</f>
        <v>8000000</v>
      </c>
      <c r="E89" s="3483">
        <f t="shared" ref="E89:L89" si="94">+E91</f>
        <v>0</v>
      </c>
      <c r="F89" s="3483">
        <f t="shared" si="94"/>
        <v>0</v>
      </c>
      <c r="G89" s="3483">
        <f t="shared" si="94"/>
        <v>0</v>
      </c>
      <c r="H89" s="3483">
        <f t="shared" si="94"/>
        <v>0</v>
      </c>
      <c r="I89" s="3483">
        <f t="shared" si="94"/>
        <v>0</v>
      </c>
      <c r="J89" s="3483">
        <f t="shared" si="94"/>
        <v>0</v>
      </c>
      <c r="K89" s="3483">
        <f t="shared" si="94"/>
        <v>0</v>
      </c>
      <c r="L89" s="3483">
        <f t="shared" si="94"/>
        <v>0</v>
      </c>
      <c r="M89" s="3356">
        <f t="shared" ref="M89" si="95">+M90+M91</f>
        <v>480000</v>
      </c>
      <c r="N89" s="3483">
        <f>+N90+N91</f>
        <v>480000</v>
      </c>
      <c r="O89" s="3483">
        <f>+O90+O91</f>
        <v>100000</v>
      </c>
      <c r="P89" s="3483">
        <f>+P90+P91</f>
        <v>1080000</v>
      </c>
      <c r="Q89" s="3483">
        <f>+Q90+Q91</f>
        <v>1080000</v>
      </c>
      <c r="R89" s="3483">
        <f>+R90+R91</f>
        <v>1080000</v>
      </c>
      <c r="S89" s="3483">
        <f t="shared" ref="S89:T89" si="96">+S90+S91</f>
        <v>1080000</v>
      </c>
      <c r="T89" s="3483">
        <f t="shared" si="96"/>
        <v>1080000</v>
      </c>
      <c r="U89" s="3483">
        <f t="shared" ref="U89:W89" si="97">+U90+U91</f>
        <v>1080000</v>
      </c>
      <c r="V89" s="3483">
        <f t="shared" si="97"/>
        <v>940000</v>
      </c>
      <c r="W89" s="3484">
        <f t="shared" si="97"/>
        <v>0</v>
      </c>
      <c r="X89" s="3477">
        <f>+X91</f>
        <v>7420000</v>
      </c>
      <c r="Y89" s="4287"/>
    </row>
    <row r="90" spans="1:28" s="3485" customFormat="1" ht="13.5" customHeight="1">
      <c r="A90" s="4290"/>
      <c r="B90" s="3407" t="s">
        <v>179</v>
      </c>
      <c r="C90" s="4280"/>
      <c r="D90" s="3362">
        <f t="shared" ref="D90:D91" si="98">M90+O90+P90+Q90+R90+S90+T90+U90+V90+W90</f>
        <v>580000</v>
      </c>
      <c r="E90" s="3486"/>
      <c r="F90" s="3487"/>
      <c r="G90" s="3488"/>
      <c r="H90" s="3488"/>
      <c r="I90" s="3453"/>
      <c r="J90" s="3453"/>
      <c r="K90" s="3453"/>
      <c r="L90" s="3489"/>
      <c r="M90" s="3362">
        <f t="shared" ref="M90:M91" si="99">+L90+K90+J90+I90+E90+N90</f>
        <v>480000</v>
      </c>
      <c r="N90" s="3453">
        <v>480000</v>
      </c>
      <c r="O90" s="3453">
        <v>100000</v>
      </c>
      <c r="P90" s="3453">
        <v>0</v>
      </c>
      <c r="Q90" s="3453">
        <v>0</v>
      </c>
      <c r="R90" s="3453">
        <v>0</v>
      </c>
      <c r="S90" s="3453">
        <v>0</v>
      </c>
      <c r="T90" s="3453">
        <v>0</v>
      </c>
      <c r="U90" s="3453">
        <v>0</v>
      </c>
      <c r="V90" s="3453">
        <v>0</v>
      </c>
      <c r="W90" s="3490">
        <v>0</v>
      </c>
      <c r="X90" s="3478">
        <v>0</v>
      </c>
      <c r="Y90" s="4287"/>
    </row>
    <row r="91" spans="1:28" s="3485" customFormat="1" ht="13.5" customHeight="1" thickBot="1">
      <c r="A91" s="4291"/>
      <c r="B91" s="3491" t="s">
        <v>187</v>
      </c>
      <c r="C91" s="4281"/>
      <c r="D91" s="3423">
        <f t="shared" si="98"/>
        <v>7420000</v>
      </c>
      <c r="E91" s="3492">
        <v>0</v>
      </c>
      <c r="F91" s="3493"/>
      <c r="G91" s="3494"/>
      <c r="H91" s="3494"/>
      <c r="I91" s="3481">
        <v>0</v>
      </c>
      <c r="J91" s="3474">
        <v>0</v>
      </c>
      <c r="K91" s="3474">
        <v>0</v>
      </c>
      <c r="L91" s="3492">
        <v>0</v>
      </c>
      <c r="M91" s="3423">
        <f t="shared" si="99"/>
        <v>0</v>
      </c>
      <c r="N91" s="3474">
        <v>0</v>
      </c>
      <c r="O91" s="3474">
        <v>0</v>
      </c>
      <c r="P91" s="3474">
        <v>1080000</v>
      </c>
      <c r="Q91" s="3474">
        <v>1080000</v>
      </c>
      <c r="R91" s="3474">
        <v>1080000</v>
      </c>
      <c r="S91" s="3474">
        <v>1080000</v>
      </c>
      <c r="T91" s="3474">
        <v>1080000</v>
      </c>
      <c r="U91" s="3474">
        <v>1080000</v>
      </c>
      <c r="V91" s="3474">
        <v>940000</v>
      </c>
      <c r="W91" s="3495"/>
      <c r="X91" s="3496">
        <f>SUM(P91:W91)</f>
        <v>7420000</v>
      </c>
      <c r="Y91" s="4295"/>
    </row>
    <row r="92" spans="1:28" s="3346" customFormat="1" ht="38.25" customHeight="1">
      <c r="A92" s="4256" t="s">
        <v>105</v>
      </c>
      <c r="B92" s="3426" t="s">
        <v>190</v>
      </c>
      <c r="C92" s="3341" t="s">
        <v>98</v>
      </c>
      <c r="D92" s="3342"/>
      <c r="E92" s="3343"/>
      <c r="F92" s="3343"/>
      <c r="G92" s="3343"/>
      <c r="H92" s="3343"/>
      <c r="I92" s="3343"/>
      <c r="J92" s="3343"/>
      <c r="K92" s="3343"/>
      <c r="L92" s="3343"/>
      <c r="M92" s="3343"/>
      <c r="N92" s="3343"/>
      <c r="O92" s="3343"/>
      <c r="P92" s="3343"/>
      <c r="Q92" s="3343"/>
      <c r="R92" s="3343"/>
      <c r="S92" s="3343"/>
      <c r="T92" s="3343"/>
      <c r="U92" s="3343"/>
      <c r="V92" s="3343"/>
      <c r="W92" s="3342"/>
      <c r="X92" s="3345"/>
      <c r="Y92" s="4259" t="s">
        <v>177</v>
      </c>
    </row>
    <row r="93" spans="1:28" s="3354" customFormat="1" ht="13.5" customHeight="1">
      <c r="A93" s="4257"/>
      <c r="B93" s="3347" t="s">
        <v>22</v>
      </c>
      <c r="C93" s="3348"/>
      <c r="D93" s="3349">
        <f t="shared" ref="D93:K93" si="100">+D94+D97</f>
        <v>11643370</v>
      </c>
      <c r="E93" s="3349">
        <f t="shared" si="100"/>
        <v>0</v>
      </c>
      <c r="F93" s="3349">
        <f t="shared" si="100"/>
        <v>0</v>
      </c>
      <c r="G93" s="3349">
        <f t="shared" si="100"/>
        <v>12200</v>
      </c>
      <c r="H93" s="3349">
        <f t="shared" si="100"/>
        <v>1690859.03</v>
      </c>
      <c r="I93" s="3349">
        <f t="shared" si="100"/>
        <v>0</v>
      </c>
      <c r="J93" s="3349">
        <f t="shared" si="100"/>
        <v>0</v>
      </c>
      <c r="K93" s="3349">
        <f t="shared" si="100"/>
        <v>0</v>
      </c>
      <c r="L93" s="3349">
        <f>+L94+L97</f>
        <v>548968</v>
      </c>
      <c r="M93" s="3349">
        <f>+M94+M97</f>
        <v>4745865</v>
      </c>
      <c r="N93" s="3349">
        <f>+N94+N97</f>
        <v>4196897</v>
      </c>
      <c r="O93" s="3349">
        <f>+O94+O97</f>
        <v>6897505</v>
      </c>
      <c r="P93" s="3399">
        <f>+P94+P97</f>
        <v>0</v>
      </c>
      <c r="Q93" s="3399">
        <f t="shared" ref="Q93:T93" si="101">+Q94+Q97</f>
        <v>0</v>
      </c>
      <c r="R93" s="3399">
        <f t="shared" si="101"/>
        <v>0</v>
      </c>
      <c r="S93" s="3399">
        <f t="shared" si="101"/>
        <v>0</v>
      </c>
      <c r="T93" s="3399">
        <f t="shared" si="101"/>
        <v>0</v>
      </c>
      <c r="U93" s="3399">
        <f t="shared" ref="U93:W93" si="102">+U94+U97</f>
        <v>0</v>
      </c>
      <c r="V93" s="3399">
        <f t="shared" si="102"/>
        <v>0</v>
      </c>
      <c r="W93" s="3400">
        <f t="shared" si="102"/>
        <v>0</v>
      </c>
      <c r="X93" s="3401">
        <f>+X94</f>
        <v>0</v>
      </c>
      <c r="Y93" s="4260"/>
    </row>
    <row r="94" spans="1:28" s="3354" customFormat="1" ht="12.75" customHeight="1">
      <c r="A94" s="4257"/>
      <c r="B94" s="3355" t="s">
        <v>36</v>
      </c>
      <c r="C94" s="4263" t="s">
        <v>178</v>
      </c>
      <c r="D94" s="3356">
        <f>+D95+D96</f>
        <v>3452130</v>
      </c>
      <c r="E94" s="3356">
        <f>+E95+E96</f>
        <v>0</v>
      </c>
      <c r="F94" s="3356">
        <f>+F95+F96</f>
        <v>0</v>
      </c>
      <c r="G94" s="3356">
        <f>+G95+G96</f>
        <v>12200</v>
      </c>
      <c r="H94" s="3356">
        <f>+H95+H96</f>
        <v>1690859.03</v>
      </c>
      <c r="I94" s="3356">
        <f t="shared" ref="I94:T94" si="103">+I95+I96</f>
        <v>0</v>
      </c>
      <c r="J94" s="3356">
        <f t="shared" si="103"/>
        <v>0</v>
      </c>
      <c r="K94" s="3356">
        <f t="shared" si="103"/>
        <v>0</v>
      </c>
      <c r="L94" s="3356">
        <f t="shared" si="103"/>
        <v>148492</v>
      </c>
      <c r="M94" s="3356">
        <f t="shared" si="103"/>
        <v>1721730</v>
      </c>
      <c r="N94" s="3356">
        <f t="shared" si="103"/>
        <v>1573238</v>
      </c>
      <c r="O94" s="3356">
        <f t="shared" si="103"/>
        <v>1730400</v>
      </c>
      <c r="P94" s="3428">
        <f t="shared" si="103"/>
        <v>0</v>
      </c>
      <c r="Q94" s="3428">
        <f t="shared" si="103"/>
        <v>0</v>
      </c>
      <c r="R94" s="3428">
        <f t="shared" si="103"/>
        <v>0</v>
      </c>
      <c r="S94" s="3428">
        <f t="shared" si="103"/>
        <v>0</v>
      </c>
      <c r="T94" s="3428">
        <f t="shared" si="103"/>
        <v>0</v>
      </c>
      <c r="U94" s="3428">
        <f t="shared" ref="U94:W94" si="104">+U95+U96</f>
        <v>0</v>
      </c>
      <c r="V94" s="3428">
        <f t="shared" si="104"/>
        <v>0</v>
      </c>
      <c r="W94" s="3429">
        <f t="shared" si="104"/>
        <v>0</v>
      </c>
      <c r="X94" s="3497">
        <f>+X96</f>
        <v>0</v>
      </c>
      <c r="Y94" s="4261"/>
    </row>
    <row r="95" spans="1:28" s="3354" customFormat="1" ht="12">
      <c r="A95" s="4257"/>
      <c r="B95" s="3361" t="s">
        <v>179</v>
      </c>
      <c r="C95" s="4264"/>
      <c r="D95" s="3362">
        <f t="shared" ref="D95:D96" si="105">M95+O95+P95+Q95+R95+S95+T95+U95+V95+W95</f>
        <v>2452130</v>
      </c>
      <c r="E95" s="3362">
        <v>0</v>
      </c>
      <c r="F95" s="3362">
        <v>0</v>
      </c>
      <c r="G95" s="3362">
        <v>12200</v>
      </c>
      <c r="H95" s="3362">
        <v>1015859</v>
      </c>
      <c r="I95" s="3362">
        <v>0</v>
      </c>
      <c r="J95" s="3362">
        <v>0</v>
      </c>
      <c r="K95" s="3362">
        <v>0</v>
      </c>
      <c r="L95" s="3362">
        <v>148492</v>
      </c>
      <c r="M95" s="3362">
        <f>+L95+K95+J95+I95+E95+N95</f>
        <v>721730</v>
      </c>
      <c r="N95" s="3362">
        <f>737277-164039</f>
        <v>573238</v>
      </c>
      <c r="O95" s="3362">
        <f>1394867+335533</f>
        <v>1730400</v>
      </c>
      <c r="P95" s="3408">
        <v>0</v>
      </c>
      <c r="Q95" s="3408">
        <v>0</v>
      </c>
      <c r="R95" s="3408">
        <v>0</v>
      </c>
      <c r="S95" s="3408">
        <v>0</v>
      </c>
      <c r="T95" s="3408">
        <v>0</v>
      </c>
      <c r="U95" s="3408">
        <v>0</v>
      </c>
      <c r="V95" s="3408">
        <v>0</v>
      </c>
      <c r="W95" s="3409">
        <v>0</v>
      </c>
      <c r="X95" s="3304" t="s">
        <v>77</v>
      </c>
      <c r="Y95" s="4261"/>
      <c r="AB95" s="3367"/>
    </row>
    <row r="96" spans="1:28" s="3354" customFormat="1" ht="13.5" customHeight="1">
      <c r="A96" s="4257"/>
      <c r="B96" s="3368" t="s">
        <v>175</v>
      </c>
      <c r="C96" s="4265"/>
      <c r="D96" s="3362">
        <f t="shared" si="105"/>
        <v>1000000</v>
      </c>
      <c r="E96" s="3362">
        <v>0</v>
      </c>
      <c r="F96" s="3362">
        <v>0</v>
      </c>
      <c r="G96" s="3362">
        <v>0</v>
      </c>
      <c r="H96" s="3362">
        <v>675000.03</v>
      </c>
      <c r="I96" s="3362">
        <v>0</v>
      </c>
      <c r="J96" s="3362">
        <v>0</v>
      </c>
      <c r="K96" s="3362">
        <v>0</v>
      </c>
      <c r="L96" s="3362">
        <v>0</v>
      </c>
      <c r="M96" s="3362">
        <f>+L96+K96+J96+I96+E96+N96</f>
        <v>1000000</v>
      </c>
      <c r="N96" s="3362">
        <v>1000000</v>
      </c>
      <c r="O96" s="3362">
        <v>0</v>
      </c>
      <c r="P96" s="3408">
        <v>0</v>
      </c>
      <c r="Q96" s="3408">
        <v>0</v>
      </c>
      <c r="R96" s="3408">
        <v>0</v>
      </c>
      <c r="S96" s="3408">
        <v>0</v>
      </c>
      <c r="T96" s="3408">
        <v>0</v>
      </c>
      <c r="U96" s="3408">
        <v>0</v>
      </c>
      <c r="V96" s="3408">
        <v>0</v>
      </c>
      <c r="W96" s="3409">
        <v>0</v>
      </c>
      <c r="X96" s="3411">
        <f>SUM(P96:T96)</f>
        <v>0</v>
      </c>
      <c r="Y96" s="4261"/>
    </row>
    <row r="97" spans="1:28" s="3354" customFormat="1" ht="13.5" customHeight="1">
      <c r="A97" s="4257"/>
      <c r="B97" s="3370" t="s">
        <v>30</v>
      </c>
      <c r="C97" s="4266" t="s">
        <v>35</v>
      </c>
      <c r="D97" s="3371">
        <f>+D98</f>
        <v>8191240</v>
      </c>
      <c r="E97" s="3371">
        <f t="shared" ref="E97:X97" si="106">+E98</f>
        <v>0</v>
      </c>
      <c r="F97" s="3371">
        <f t="shared" si="106"/>
        <v>0</v>
      </c>
      <c r="G97" s="3371">
        <f t="shared" si="106"/>
        <v>0</v>
      </c>
      <c r="H97" s="3371">
        <f t="shared" si="106"/>
        <v>0</v>
      </c>
      <c r="I97" s="3371">
        <f t="shared" si="106"/>
        <v>0</v>
      </c>
      <c r="J97" s="3371">
        <f t="shared" si="106"/>
        <v>0</v>
      </c>
      <c r="K97" s="3371">
        <f t="shared" si="106"/>
        <v>0</v>
      </c>
      <c r="L97" s="3371">
        <f t="shared" si="106"/>
        <v>400476</v>
      </c>
      <c r="M97" s="3371">
        <f t="shared" si="106"/>
        <v>3024135</v>
      </c>
      <c r="N97" s="3371">
        <f t="shared" si="106"/>
        <v>2623659</v>
      </c>
      <c r="O97" s="3371">
        <f t="shared" si="106"/>
        <v>5167105</v>
      </c>
      <c r="P97" s="3414">
        <f t="shared" si="106"/>
        <v>0</v>
      </c>
      <c r="Q97" s="3414">
        <f t="shared" si="106"/>
        <v>0</v>
      </c>
      <c r="R97" s="3414">
        <f t="shared" si="106"/>
        <v>0</v>
      </c>
      <c r="S97" s="3414">
        <f t="shared" si="106"/>
        <v>0</v>
      </c>
      <c r="T97" s="3414">
        <f t="shared" si="106"/>
        <v>0</v>
      </c>
      <c r="U97" s="3414">
        <f t="shared" si="106"/>
        <v>0</v>
      </c>
      <c r="V97" s="3414">
        <f t="shared" si="106"/>
        <v>0</v>
      </c>
      <c r="W97" s="3415">
        <f t="shared" si="106"/>
        <v>0</v>
      </c>
      <c r="X97" s="3416" t="str">
        <f t="shared" si="106"/>
        <v>x</v>
      </c>
      <c r="Y97" s="4261"/>
    </row>
    <row r="98" spans="1:28" s="3354" customFormat="1" ht="11.25" customHeight="1">
      <c r="A98" s="4257"/>
      <c r="B98" s="3376" t="s">
        <v>48</v>
      </c>
      <c r="C98" s="4267"/>
      <c r="D98" s="3362">
        <f>M98+O98+P98+Q98+R98+S98+T98+U98+V98+W98</f>
        <v>8191240</v>
      </c>
      <c r="E98" s="3377">
        <f>+F98+G98+H98</f>
        <v>0</v>
      </c>
      <c r="F98" s="3377">
        <v>0</v>
      </c>
      <c r="G98" s="3377">
        <v>0</v>
      </c>
      <c r="H98" s="3377">
        <v>0</v>
      </c>
      <c r="I98" s="3377">
        <v>0</v>
      </c>
      <c r="J98" s="3377">
        <v>0</v>
      </c>
      <c r="K98" s="3377">
        <v>0</v>
      </c>
      <c r="L98" s="3377">
        <v>400476</v>
      </c>
      <c r="M98" s="3362">
        <f>+L98+K98+J98+I98+E98+N98</f>
        <v>3024135</v>
      </c>
      <c r="N98" s="3377">
        <f>4506398-1882739</f>
        <v>2623659</v>
      </c>
      <c r="O98" s="3377">
        <f>4184600+982505</f>
        <v>5167105</v>
      </c>
      <c r="P98" s="3430">
        <v>0</v>
      </c>
      <c r="Q98" s="3430">
        <v>0</v>
      </c>
      <c r="R98" s="3430">
        <v>0</v>
      </c>
      <c r="S98" s="3430">
        <v>0</v>
      </c>
      <c r="T98" s="3430">
        <v>0</v>
      </c>
      <c r="U98" s="3430">
        <v>0</v>
      </c>
      <c r="V98" s="3430">
        <v>0</v>
      </c>
      <c r="W98" s="3431">
        <v>0</v>
      </c>
      <c r="X98" s="3498" t="s">
        <v>77</v>
      </c>
      <c r="Y98" s="4261"/>
    </row>
    <row r="99" spans="1:28" s="3354" customFormat="1" ht="13.5" customHeight="1">
      <c r="A99" s="4257"/>
      <c r="B99" s="3378" t="s">
        <v>34</v>
      </c>
      <c r="C99" s="3436"/>
      <c r="D99" s="3349">
        <f>D101</f>
        <v>8191240</v>
      </c>
      <c r="E99" s="3349">
        <f>E101</f>
        <v>0</v>
      </c>
      <c r="F99" s="3349">
        <f>F101</f>
        <v>0</v>
      </c>
      <c r="G99" s="3349">
        <f>G101</f>
        <v>0</v>
      </c>
      <c r="H99" s="3349">
        <f>H101</f>
        <v>0</v>
      </c>
      <c r="I99" s="3349">
        <f>+I100</f>
        <v>0</v>
      </c>
      <c r="J99" s="3349">
        <f t="shared" ref="J99:W100" si="107">+J100</f>
        <v>0</v>
      </c>
      <c r="K99" s="3349">
        <f t="shared" si="107"/>
        <v>0</v>
      </c>
      <c r="L99" s="3349">
        <f t="shared" si="107"/>
        <v>400476</v>
      </c>
      <c r="M99" s="3349">
        <f t="shared" si="107"/>
        <v>3024135</v>
      </c>
      <c r="N99" s="3349">
        <f t="shared" si="107"/>
        <v>2623659</v>
      </c>
      <c r="O99" s="3349">
        <f t="shared" si="107"/>
        <v>5167105</v>
      </c>
      <c r="P99" s="3399">
        <f t="shared" si="107"/>
        <v>0</v>
      </c>
      <c r="Q99" s="3399">
        <f t="shared" si="107"/>
        <v>0</v>
      </c>
      <c r="R99" s="3399">
        <f t="shared" si="107"/>
        <v>0</v>
      </c>
      <c r="S99" s="3399">
        <f t="shared" si="107"/>
        <v>0</v>
      </c>
      <c r="T99" s="3399">
        <f t="shared" si="107"/>
        <v>0</v>
      </c>
      <c r="U99" s="3399">
        <f t="shared" si="107"/>
        <v>0</v>
      </c>
      <c r="V99" s="3399">
        <f t="shared" si="107"/>
        <v>0</v>
      </c>
      <c r="W99" s="3400">
        <f t="shared" si="107"/>
        <v>0</v>
      </c>
      <c r="X99" s="4268" t="s">
        <v>77</v>
      </c>
      <c r="Y99" s="4261"/>
    </row>
    <row r="100" spans="1:28" s="3354" customFormat="1" ht="13.5" customHeight="1">
      <c r="A100" s="4257"/>
      <c r="B100" s="3370" t="s">
        <v>30</v>
      </c>
      <c r="C100" s="4266" t="s">
        <v>35</v>
      </c>
      <c r="D100" s="3382">
        <f>+D101</f>
        <v>8191240</v>
      </c>
      <c r="E100" s="3382">
        <f t="shared" ref="E100:L100" si="108">+E101</f>
        <v>0</v>
      </c>
      <c r="F100" s="3382">
        <f t="shared" si="108"/>
        <v>0</v>
      </c>
      <c r="G100" s="3382">
        <f t="shared" si="108"/>
        <v>0</v>
      </c>
      <c r="H100" s="3382">
        <f t="shared" si="108"/>
        <v>0</v>
      </c>
      <c r="I100" s="3382">
        <f t="shared" si="108"/>
        <v>0</v>
      </c>
      <c r="J100" s="3382">
        <f t="shared" si="108"/>
        <v>0</v>
      </c>
      <c r="K100" s="3382">
        <f t="shared" si="108"/>
        <v>0</v>
      </c>
      <c r="L100" s="3382">
        <f t="shared" si="108"/>
        <v>400476</v>
      </c>
      <c r="M100" s="3382">
        <f>+M101</f>
        <v>3024135</v>
      </c>
      <c r="N100" s="3382">
        <f t="shared" si="107"/>
        <v>2623659</v>
      </c>
      <c r="O100" s="3382">
        <f t="shared" si="107"/>
        <v>5167105</v>
      </c>
      <c r="P100" s="3419">
        <f t="shared" si="107"/>
        <v>0</v>
      </c>
      <c r="Q100" s="3419">
        <f t="shared" si="107"/>
        <v>0</v>
      </c>
      <c r="R100" s="3419">
        <f t="shared" si="107"/>
        <v>0</v>
      </c>
      <c r="S100" s="3419">
        <f t="shared" si="107"/>
        <v>0</v>
      </c>
      <c r="T100" s="3419">
        <f t="shared" si="107"/>
        <v>0</v>
      </c>
      <c r="U100" s="3499">
        <f t="shared" si="107"/>
        <v>0</v>
      </c>
      <c r="V100" s="3499">
        <f t="shared" si="107"/>
        <v>0</v>
      </c>
      <c r="W100" s="3500">
        <f t="shared" si="107"/>
        <v>0</v>
      </c>
      <c r="X100" s="4269"/>
      <c r="Y100" s="4261"/>
    </row>
    <row r="101" spans="1:28" s="3354" customFormat="1" ht="14.25" customHeight="1" thickBot="1">
      <c r="A101" s="4258"/>
      <c r="B101" s="3501" t="s">
        <v>48</v>
      </c>
      <c r="C101" s="4271"/>
      <c r="D101" s="3362">
        <f>M101+O101+P101+Q101+R101+S101+T101+U101+V101+W101</f>
        <v>8191240</v>
      </c>
      <c r="E101" s="3424">
        <v>0</v>
      </c>
      <c r="F101" s="3424">
        <v>0</v>
      </c>
      <c r="G101" s="3424">
        <v>0</v>
      </c>
      <c r="H101" s="3424">
        <v>0</v>
      </c>
      <c r="I101" s="3424">
        <v>0</v>
      </c>
      <c r="J101" s="3424">
        <v>0</v>
      </c>
      <c r="K101" s="3424">
        <v>0</v>
      </c>
      <c r="L101" s="3424">
        <v>400476</v>
      </c>
      <c r="M101" s="3362">
        <f>+L101+K101+J101+I101+E101+N101</f>
        <v>3024135</v>
      </c>
      <c r="N101" s="3424">
        <f>4506398-1882739</f>
        <v>2623659</v>
      </c>
      <c r="O101" s="3424">
        <f>4184600+982505</f>
        <v>5167105</v>
      </c>
      <c r="P101" s="3425">
        <v>0</v>
      </c>
      <c r="Q101" s="3425">
        <v>0</v>
      </c>
      <c r="R101" s="3425">
        <v>0</v>
      </c>
      <c r="S101" s="3425">
        <v>0</v>
      </c>
      <c r="T101" s="3425">
        <v>0</v>
      </c>
      <c r="U101" s="3425">
        <v>0</v>
      </c>
      <c r="V101" s="3425">
        <v>0</v>
      </c>
      <c r="W101" s="3502">
        <v>0</v>
      </c>
      <c r="X101" s="4270"/>
      <c r="Y101" s="4262"/>
    </row>
    <row r="102" spans="1:28" s="3266" customFormat="1" ht="51.75" customHeight="1">
      <c r="A102" s="4256" t="s">
        <v>106</v>
      </c>
      <c r="B102" s="3426" t="s">
        <v>520</v>
      </c>
      <c r="C102" s="3341" t="s">
        <v>98</v>
      </c>
      <c r="D102" s="3342"/>
      <c r="E102" s="3343"/>
      <c r="F102" s="3343"/>
      <c r="G102" s="3343"/>
      <c r="H102" s="3343"/>
      <c r="I102" s="3343"/>
      <c r="J102" s="3343"/>
      <c r="K102" s="3343"/>
      <c r="L102" s="3343"/>
      <c r="M102" s="3343"/>
      <c r="N102" s="3343"/>
      <c r="O102" s="3343"/>
      <c r="P102" s="3343"/>
      <c r="Q102" s="3343"/>
      <c r="R102" s="3343"/>
      <c r="S102" s="3343"/>
      <c r="T102" s="3343"/>
      <c r="U102" s="3343"/>
      <c r="V102" s="3343"/>
      <c r="W102" s="3342"/>
      <c r="X102" s="3345"/>
      <c r="Y102" s="4274" t="s">
        <v>483</v>
      </c>
      <c r="Z102" s="4253" t="s">
        <v>467</v>
      </c>
      <c r="AA102" s="4254"/>
      <c r="AB102" s="4254"/>
    </row>
    <row r="103" spans="1:28" s="3266" customFormat="1" ht="15" customHeight="1">
      <c r="A103" s="4272"/>
      <c r="B103" s="3378" t="s">
        <v>22</v>
      </c>
      <c r="C103" s="3348"/>
      <c r="D103" s="3349">
        <f t="shared" ref="D103:K103" si="109">+D104+D108</f>
        <v>24563914</v>
      </c>
      <c r="E103" s="3349">
        <f t="shared" si="109"/>
        <v>0</v>
      </c>
      <c r="F103" s="3349">
        <f t="shared" si="109"/>
        <v>0</v>
      </c>
      <c r="G103" s="3349">
        <f t="shared" si="109"/>
        <v>12200</v>
      </c>
      <c r="H103" s="3349">
        <f t="shared" si="109"/>
        <v>1690859.03</v>
      </c>
      <c r="I103" s="3349">
        <f t="shared" si="109"/>
        <v>0</v>
      </c>
      <c r="J103" s="3349">
        <f t="shared" si="109"/>
        <v>0</v>
      </c>
      <c r="K103" s="3349">
        <f t="shared" si="109"/>
        <v>0</v>
      </c>
      <c r="L103" s="3349">
        <f>+L104+L108</f>
        <v>0</v>
      </c>
      <c r="M103" s="3349">
        <f>+M104+M108</f>
        <v>117351</v>
      </c>
      <c r="N103" s="3349">
        <f>+N104+N108</f>
        <v>117351</v>
      </c>
      <c r="O103" s="3349">
        <f>+O104+O108</f>
        <v>22850616</v>
      </c>
      <c r="P103" s="3349">
        <f>+P104+P108</f>
        <v>1595947</v>
      </c>
      <c r="Q103" s="3399">
        <f t="shared" ref="Q103:T103" si="110">+Q104+Q108</f>
        <v>0</v>
      </c>
      <c r="R103" s="3399">
        <f t="shared" si="110"/>
        <v>0</v>
      </c>
      <c r="S103" s="3399">
        <f t="shared" si="110"/>
        <v>0</v>
      </c>
      <c r="T103" s="3399">
        <f t="shared" si="110"/>
        <v>0</v>
      </c>
      <c r="U103" s="3399">
        <f t="shared" ref="U103:W103" si="111">+U104+U108</f>
        <v>0</v>
      </c>
      <c r="V103" s="3399">
        <f t="shared" si="111"/>
        <v>0</v>
      </c>
      <c r="W103" s="3400">
        <f t="shared" si="111"/>
        <v>0</v>
      </c>
      <c r="X103" s="3401">
        <f>+X104</f>
        <v>917383</v>
      </c>
      <c r="Y103" s="4275"/>
    </row>
    <row r="104" spans="1:28" s="3266" customFormat="1" ht="15" customHeight="1">
      <c r="A104" s="4272"/>
      <c r="B104" s="3355" t="s">
        <v>36</v>
      </c>
      <c r="C104" s="4263" t="s">
        <v>178</v>
      </c>
      <c r="D104" s="3356">
        <f>+D105+D106+D107</f>
        <v>10173667</v>
      </c>
      <c r="E104" s="3356">
        <f>+E105+E106</f>
        <v>0</v>
      </c>
      <c r="F104" s="3356">
        <f>+F105+F106</f>
        <v>0</v>
      </c>
      <c r="G104" s="3356">
        <f>+G105+G106</f>
        <v>12200</v>
      </c>
      <c r="H104" s="3356">
        <f>+H105+H106</f>
        <v>1690859.03</v>
      </c>
      <c r="I104" s="3356">
        <f t="shared" ref="I104:T104" si="112">+I105+I106</f>
        <v>0</v>
      </c>
      <c r="J104" s="3356">
        <f t="shared" si="112"/>
        <v>0</v>
      </c>
      <c r="K104" s="3356">
        <f t="shared" si="112"/>
        <v>0</v>
      </c>
      <c r="L104" s="3356">
        <f t="shared" si="112"/>
        <v>0</v>
      </c>
      <c r="M104" s="3356">
        <f t="shared" ref="M104" si="113">+M105+M106</f>
        <v>117351</v>
      </c>
      <c r="N104" s="3356">
        <f t="shared" si="112"/>
        <v>117351</v>
      </c>
      <c r="O104" s="3356">
        <f>+O105+O106+O107</f>
        <v>9138933</v>
      </c>
      <c r="P104" s="3356">
        <f>+P105+P106+P107</f>
        <v>917383</v>
      </c>
      <c r="Q104" s="3428">
        <f t="shared" si="112"/>
        <v>0</v>
      </c>
      <c r="R104" s="3428">
        <f t="shared" si="112"/>
        <v>0</v>
      </c>
      <c r="S104" s="3428">
        <f t="shared" si="112"/>
        <v>0</v>
      </c>
      <c r="T104" s="3428">
        <f t="shared" si="112"/>
        <v>0</v>
      </c>
      <c r="U104" s="3428">
        <f t="shared" ref="U104:W104" si="114">+U105+U106</f>
        <v>0</v>
      </c>
      <c r="V104" s="3428">
        <f t="shared" si="114"/>
        <v>0</v>
      </c>
      <c r="W104" s="3429">
        <f t="shared" si="114"/>
        <v>0</v>
      </c>
      <c r="X104" s="3497">
        <f>+X106+X107</f>
        <v>917383</v>
      </c>
      <c r="Y104" s="4276"/>
    </row>
    <row r="105" spans="1:28" s="3266" customFormat="1">
      <c r="A105" s="4272"/>
      <c r="B105" s="3361" t="s">
        <v>179</v>
      </c>
      <c r="C105" s="4264"/>
      <c r="D105" s="3362">
        <f t="shared" ref="D105:D107" si="115">M105+O105+P105+Q105+R105+S105+T105+U105+V105+W105</f>
        <v>6117335</v>
      </c>
      <c r="E105" s="3362">
        <v>0</v>
      </c>
      <c r="F105" s="3362">
        <v>0</v>
      </c>
      <c r="G105" s="3362">
        <v>12200</v>
      </c>
      <c r="H105" s="3362">
        <v>1015859</v>
      </c>
      <c r="I105" s="3362">
        <v>0</v>
      </c>
      <c r="J105" s="3362">
        <v>0</v>
      </c>
      <c r="K105" s="3362">
        <v>0</v>
      </c>
      <c r="L105" s="3362">
        <v>0</v>
      </c>
      <c r="M105" s="3362">
        <f t="shared" ref="M105:M107" si="116">+L105+K105+J105+I105+E105+N105</f>
        <v>117351</v>
      </c>
      <c r="N105" s="3362">
        <f>1226982-1109631</f>
        <v>117351</v>
      </c>
      <c r="O105" s="3362">
        <f>7341386+209397-1550799</f>
        <v>5999984</v>
      </c>
      <c r="P105" s="3503">
        <v>0</v>
      </c>
      <c r="Q105" s="3408">
        <v>0</v>
      </c>
      <c r="R105" s="3408">
        <v>0</v>
      </c>
      <c r="S105" s="3408">
        <v>0</v>
      </c>
      <c r="T105" s="3408">
        <v>0</v>
      </c>
      <c r="U105" s="3408">
        <v>0</v>
      </c>
      <c r="V105" s="3408">
        <v>0</v>
      </c>
      <c r="W105" s="3409">
        <v>0</v>
      </c>
      <c r="X105" s="3304" t="s">
        <v>77</v>
      </c>
      <c r="Y105" s="4276"/>
    </row>
    <row r="106" spans="1:28" s="3266" customFormat="1" ht="13.5" customHeight="1">
      <c r="A106" s="4272"/>
      <c r="B106" s="3368" t="s">
        <v>175</v>
      </c>
      <c r="C106" s="4265"/>
      <c r="D106" s="3362">
        <f t="shared" si="115"/>
        <v>1000000</v>
      </c>
      <c r="E106" s="3362">
        <v>0</v>
      </c>
      <c r="F106" s="3362">
        <v>0</v>
      </c>
      <c r="G106" s="3362">
        <v>0</v>
      </c>
      <c r="H106" s="3362">
        <v>675000.03</v>
      </c>
      <c r="I106" s="3362">
        <v>0</v>
      </c>
      <c r="J106" s="3362">
        <v>0</v>
      </c>
      <c r="K106" s="3362">
        <v>0</v>
      </c>
      <c r="L106" s="3362">
        <v>0</v>
      </c>
      <c r="M106" s="3362">
        <f t="shared" si="116"/>
        <v>0</v>
      </c>
      <c r="N106" s="3362">
        <v>0</v>
      </c>
      <c r="O106" s="3362">
        <v>1000000</v>
      </c>
      <c r="P106" s="3503">
        <v>0</v>
      </c>
      <c r="Q106" s="3408">
        <v>0</v>
      </c>
      <c r="R106" s="3408">
        <v>0</v>
      </c>
      <c r="S106" s="3408">
        <v>0</v>
      </c>
      <c r="T106" s="3408">
        <v>0</v>
      </c>
      <c r="U106" s="3408">
        <v>0</v>
      </c>
      <c r="V106" s="3408">
        <v>0</v>
      </c>
      <c r="W106" s="3408">
        <v>0</v>
      </c>
      <c r="X106" s="3411">
        <f>SUM(P106:T106)</f>
        <v>0</v>
      </c>
      <c r="Y106" s="4276"/>
    </row>
    <row r="107" spans="1:28" s="3266" customFormat="1" ht="13.5" customHeight="1">
      <c r="A107" s="4272"/>
      <c r="B107" s="3361" t="s">
        <v>25</v>
      </c>
      <c r="C107" s="3504"/>
      <c r="D107" s="3362">
        <f t="shared" si="115"/>
        <v>3056332</v>
      </c>
      <c r="E107" s="3362"/>
      <c r="F107" s="3362"/>
      <c r="G107" s="3362"/>
      <c r="H107" s="3362"/>
      <c r="I107" s="3362"/>
      <c r="J107" s="3362"/>
      <c r="K107" s="3362"/>
      <c r="L107" s="3362"/>
      <c r="M107" s="3362">
        <f t="shared" si="116"/>
        <v>0</v>
      </c>
      <c r="N107" s="3362">
        <v>0</v>
      </c>
      <c r="O107" s="3362">
        <f>3056332-917383</f>
        <v>2138949</v>
      </c>
      <c r="P107" s="3362">
        <v>917383</v>
      </c>
      <c r="Q107" s="3408">
        <v>0</v>
      </c>
      <c r="R107" s="3408">
        <v>0</v>
      </c>
      <c r="S107" s="3408">
        <v>0</v>
      </c>
      <c r="T107" s="3408">
        <v>0</v>
      </c>
      <c r="U107" s="3408">
        <v>0</v>
      </c>
      <c r="V107" s="3408">
        <v>0</v>
      </c>
      <c r="W107" s="3408">
        <v>0</v>
      </c>
      <c r="X107" s="3411">
        <f>SUM(P107:T107)</f>
        <v>917383</v>
      </c>
      <c r="Y107" s="4276"/>
    </row>
    <row r="108" spans="1:28" s="3266" customFormat="1" ht="13.5" customHeight="1">
      <c r="A108" s="4272"/>
      <c r="B108" s="3370" t="s">
        <v>30</v>
      </c>
      <c r="C108" s="4266" t="s">
        <v>35</v>
      </c>
      <c r="D108" s="3371">
        <f>+D109</f>
        <v>14390247</v>
      </c>
      <c r="E108" s="3371">
        <f t="shared" ref="E108:X108" si="117">+E109</f>
        <v>0</v>
      </c>
      <c r="F108" s="3371">
        <f t="shared" si="117"/>
        <v>0</v>
      </c>
      <c r="G108" s="3371">
        <f t="shared" si="117"/>
        <v>0</v>
      </c>
      <c r="H108" s="3371">
        <f t="shared" si="117"/>
        <v>0</v>
      </c>
      <c r="I108" s="3371">
        <f t="shared" si="117"/>
        <v>0</v>
      </c>
      <c r="J108" s="3371">
        <f t="shared" si="117"/>
        <v>0</v>
      </c>
      <c r="K108" s="3371">
        <f t="shared" si="117"/>
        <v>0</v>
      </c>
      <c r="L108" s="3371">
        <f t="shared" si="117"/>
        <v>0</v>
      </c>
      <c r="M108" s="3371">
        <f t="shared" si="117"/>
        <v>0</v>
      </c>
      <c r="N108" s="3371">
        <f t="shared" si="117"/>
        <v>0</v>
      </c>
      <c r="O108" s="3371">
        <f t="shared" si="117"/>
        <v>13711683</v>
      </c>
      <c r="P108" s="3371">
        <f>+P109</f>
        <v>678564</v>
      </c>
      <c r="Q108" s="3414">
        <f t="shared" si="117"/>
        <v>0</v>
      </c>
      <c r="R108" s="3414">
        <f t="shared" si="117"/>
        <v>0</v>
      </c>
      <c r="S108" s="3414">
        <f t="shared" si="117"/>
        <v>0</v>
      </c>
      <c r="T108" s="3414">
        <f t="shared" si="117"/>
        <v>0</v>
      </c>
      <c r="U108" s="3414">
        <f t="shared" si="117"/>
        <v>0</v>
      </c>
      <c r="V108" s="3414">
        <f t="shared" si="117"/>
        <v>0</v>
      </c>
      <c r="W108" s="3414">
        <f t="shared" si="117"/>
        <v>0</v>
      </c>
      <c r="X108" s="3416" t="str">
        <f t="shared" si="117"/>
        <v>x</v>
      </c>
      <c r="Y108" s="4276"/>
    </row>
    <row r="109" spans="1:28" s="3266" customFormat="1" ht="11.25" customHeight="1">
      <c r="A109" s="4272"/>
      <c r="B109" s="3376" t="s">
        <v>48</v>
      </c>
      <c r="C109" s="4267"/>
      <c r="D109" s="3362">
        <f>M109+O109+P109+Q109+R109+S109+T109+U109+V109+W109</f>
        <v>14390247</v>
      </c>
      <c r="E109" s="3377">
        <f>+F109+G109+H109</f>
        <v>0</v>
      </c>
      <c r="F109" s="3377">
        <v>0</v>
      </c>
      <c r="G109" s="3377">
        <v>0</v>
      </c>
      <c r="H109" s="3377">
        <v>0</v>
      </c>
      <c r="I109" s="3377">
        <v>0</v>
      </c>
      <c r="J109" s="3377">
        <v>0</v>
      </c>
      <c r="K109" s="3377">
        <v>0</v>
      </c>
      <c r="L109" s="3377">
        <v>0</v>
      </c>
      <c r="M109" s="3362">
        <f>+L109+K109+J109+I109+E109+N109</f>
        <v>0</v>
      </c>
      <c r="N109" s="3377">
        <f>1599973-1599973</f>
        <v>0</v>
      </c>
      <c r="O109" s="3377">
        <f>10836665+2500207+1053375-678564</f>
        <v>13711683</v>
      </c>
      <c r="P109" s="3377">
        <v>678564</v>
      </c>
      <c r="Q109" s="3430">
        <v>0</v>
      </c>
      <c r="R109" s="3430">
        <v>0</v>
      </c>
      <c r="S109" s="3430">
        <v>0</v>
      </c>
      <c r="T109" s="3430">
        <v>0</v>
      </c>
      <c r="U109" s="3430">
        <v>0</v>
      </c>
      <c r="V109" s="3430">
        <v>0</v>
      </c>
      <c r="W109" s="3430">
        <v>0</v>
      </c>
      <c r="X109" s="3498" t="s">
        <v>77</v>
      </c>
      <c r="Y109" s="4276"/>
    </row>
    <row r="110" spans="1:28" s="3266" customFormat="1" ht="13.5" customHeight="1">
      <c r="A110" s="4272"/>
      <c r="B110" s="3378" t="s">
        <v>34</v>
      </c>
      <c r="C110" s="3379"/>
      <c r="D110" s="3349">
        <f>+D111+D113</f>
        <v>17446579</v>
      </c>
      <c r="E110" s="3349">
        <f>E114</f>
        <v>0</v>
      </c>
      <c r="F110" s="3349">
        <f>F114</f>
        <v>0</v>
      </c>
      <c r="G110" s="3349">
        <f>G114</f>
        <v>0</v>
      </c>
      <c r="H110" s="3349">
        <f>H114</f>
        <v>0</v>
      </c>
      <c r="I110" s="3349">
        <f t="shared" ref="I110:N110" si="118">+I113</f>
        <v>0</v>
      </c>
      <c r="J110" s="3349">
        <f t="shared" si="118"/>
        <v>0</v>
      </c>
      <c r="K110" s="3349">
        <f t="shared" si="118"/>
        <v>0</v>
      </c>
      <c r="L110" s="3349">
        <f t="shared" si="118"/>
        <v>0</v>
      </c>
      <c r="M110" s="3349">
        <f t="shared" si="118"/>
        <v>0</v>
      </c>
      <c r="N110" s="3349">
        <f t="shared" si="118"/>
        <v>0</v>
      </c>
      <c r="O110" s="3349">
        <f>+O111+O113</f>
        <v>15850632</v>
      </c>
      <c r="P110" s="3349">
        <f>+P113+P111</f>
        <v>1595947</v>
      </c>
      <c r="Q110" s="3399">
        <f t="shared" ref="Q110:W110" si="119">+Q113</f>
        <v>0</v>
      </c>
      <c r="R110" s="3399">
        <f t="shared" si="119"/>
        <v>0</v>
      </c>
      <c r="S110" s="3399">
        <f t="shared" si="119"/>
        <v>0</v>
      </c>
      <c r="T110" s="3399">
        <f t="shared" si="119"/>
        <v>0</v>
      </c>
      <c r="U110" s="3399">
        <f t="shared" si="119"/>
        <v>0</v>
      </c>
      <c r="V110" s="3399">
        <f t="shared" si="119"/>
        <v>0</v>
      </c>
      <c r="W110" s="3399">
        <f t="shared" si="119"/>
        <v>0</v>
      </c>
      <c r="X110" s="4268" t="s">
        <v>77</v>
      </c>
      <c r="Y110" s="4276"/>
    </row>
    <row r="111" spans="1:28" s="3266" customFormat="1" ht="13.5" customHeight="1">
      <c r="A111" s="4272"/>
      <c r="B111" s="3355" t="s">
        <v>36</v>
      </c>
      <c r="C111" s="4266">
        <v>75861</v>
      </c>
      <c r="D111" s="3505">
        <f>+D112</f>
        <v>3056332</v>
      </c>
      <c r="E111" s="3505"/>
      <c r="F111" s="3505"/>
      <c r="G111" s="3505"/>
      <c r="H111" s="3505"/>
      <c r="I111" s="3505"/>
      <c r="J111" s="3505"/>
      <c r="K111" s="3505"/>
      <c r="L111" s="3505"/>
      <c r="M111" s="3505"/>
      <c r="N111" s="3505"/>
      <c r="O111" s="3505">
        <f>+O112</f>
        <v>2138949</v>
      </c>
      <c r="P111" s="3505">
        <f>+P112</f>
        <v>917383</v>
      </c>
      <c r="Q111" s="3419"/>
      <c r="R111" s="3419"/>
      <c r="S111" s="3419"/>
      <c r="T111" s="3419"/>
      <c r="U111" s="3419"/>
      <c r="V111" s="3419"/>
      <c r="W111" s="3419"/>
      <c r="X111" s="4269"/>
      <c r="Y111" s="4276"/>
    </row>
    <row r="112" spans="1:28" s="3266" customFormat="1" ht="13.5" customHeight="1">
      <c r="A112" s="4272"/>
      <c r="B112" s="3361" t="s">
        <v>25</v>
      </c>
      <c r="C112" s="4267"/>
      <c r="D112" s="3362">
        <f>M112+O112+P112+Q112+R112+S112+T112+U112+V112+W112</f>
        <v>3056332</v>
      </c>
      <c r="E112" s="3362"/>
      <c r="F112" s="3362"/>
      <c r="G112" s="3362"/>
      <c r="H112" s="3362"/>
      <c r="I112" s="3362"/>
      <c r="J112" s="3362"/>
      <c r="K112" s="3362"/>
      <c r="L112" s="3362"/>
      <c r="M112" s="3362">
        <f>+L112+K112+J112+I112+E112+N112</f>
        <v>0</v>
      </c>
      <c r="N112" s="3362">
        <v>0</v>
      </c>
      <c r="O112" s="3362">
        <f>3056332-917383</f>
        <v>2138949</v>
      </c>
      <c r="P112" s="3362">
        <v>917383</v>
      </c>
      <c r="Q112" s="3408">
        <v>0</v>
      </c>
      <c r="R112" s="3408">
        <v>0</v>
      </c>
      <c r="S112" s="3408">
        <v>0</v>
      </c>
      <c r="T112" s="3408">
        <v>0</v>
      </c>
      <c r="U112" s="3408">
        <v>0</v>
      </c>
      <c r="V112" s="3408">
        <v>0</v>
      </c>
      <c r="W112" s="3408">
        <v>0</v>
      </c>
      <c r="X112" s="4269"/>
      <c r="Y112" s="4276"/>
    </row>
    <row r="113" spans="1:27" s="3266" customFormat="1" ht="13.5" customHeight="1">
      <c r="A113" s="4272"/>
      <c r="B113" s="3370" t="s">
        <v>30</v>
      </c>
      <c r="C113" s="4278" t="s">
        <v>35</v>
      </c>
      <c r="D113" s="3505">
        <f>+D114</f>
        <v>14390247</v>
      </c>
      <c r="E113" s="3382">
        <f t="shared" ref="E113:M113" si="120">+E114</f>
        <v>0</v>
      </c>
      <c r="F113" s="3382">
        <f t="shared" si="120"/>
        <v>0</v>
      </c>
      <c r="G113" s="3382">
        <f t="shared" si="120"/>
        <v>0</v>
      </c>
      <c r="H113" s="3382">
        <f t="shared" si="120"/>
        <v>0</v>
      </c>
      <c r="I113" s="3382">
        <f t="shared" si="120"/>
        <v>0</v>
      </c>
      <c r="J113" s="3382">
        <f t="shared" si="120"/>
        <v>0</v>
      </c>
      <c r="K113" s="3382">
        <f t="shared" si="120"/>
        <v>0</v>
      </c>
      <c r="L113" s="3382">
        <f t="shared" si="120"/>
        <v>0</v>
      </c>
      <c r="M113" s="3382">
        <f t="shared" si="120"/>
        <v>0</v>
      </c>
      <c r="N113" s="3382">
        <f t="shared" ref="N113:W113" si="121">+N114</f>
        <v>0</v>
      </c>
      <c r="O113" s="3505">
        <f t="shared" si="121"/>
        <v>13711683</v>
      </c>
      <c r="P113" s="3505">
        <f t="shared" si="121"/>
        <v>678564</v>
      </c>
      <c r="Q113" s="3419">
        <f t="shared" si="121"/>
        <v>0</v>
      </c>
      <c r="R113" s="3419">
        <f t="shared" si="121"/>
        <v>0</v>
      </c>
      <c r="S113" s="3419">
        <f t="shared" si="121"/>
        <v>0</v>
      </c>
      <c r="T113" s="3499">
        <f t="shared" si="121"/>
        <v>0</v>
      </c>
      <c r="U113" s="3419">
        <f t="shared" si="121"/>
        <v>0</v>
      </c>
      <c r="V113" s="3419">
        <f t="shared" si="121"/>
        <v>0</v>
      </c>
      <c r="W113" s="3499">
        <f t="shared" si="121"/>
        <v>0</v>
      </c>
      <c r="X113" s="4269"/>
      <c r="Y113" s="4276"/>
    </row>
    <row r="114" spans="1:27" s="3266" customFormat="1" ht="14.25" customHeight="1" thickBot="1">
      <c r="A114" s="4273"/>
      <c r="B114" s="3501" t="s">
        <v>48</v>
      </c>
      <c r="C114" s="4271"/>
      <c r="D114" s="3362">
        <f>M114+O114+P114+Q114+R114+S114+T114+U114+V114+W114</f>
        <v>14390247</v>
      </c>
      <c r="E114" s="3424">
        <v>0</v>
      </c>
      <c r="F114" s="3424"/>
      <c r="G114" s="3424"/>
      <c r="H114" s="3424"/>
      <c r="I114" s="3424">
        <v>0</v>
      </c>
      <c r="J114" s="3424">
        <v>0</v>
      </c>
      <c r="K114" s="3424">
        <v>0</v>
      </c>
      <c r="L114" s="3424">
        <v>0</v>
      </c>
      <c r="M114" s="3362">
        <f>+L114+K114+J114+I114+E114+N114</f>
        <v>0</v>
      </c>
      <c r="N114" s="3424">
        <f>1599973-1599973</f>
        <v>0</v>
      </c>
      <c r="O114" s="3424">
        <f>10836665+2500207+1053375-678564</f>
        <v>13711683</v>
      </c>
      <c r="P114" s="3506">
        <v>678564</v>
      </c>
      <c r="Q114" s="3425">
        <v>0</v>
      </c>
      <c r="R114" s="3425">
        <v>0</v>
      </c>
      <c r="S114" s="3425">
        <v>0</v>
      </c>
      <c r="T114" s="3425">
        <v>0</v>
      </c>
      <c r="U114" s="3439">
        <v>0</v>
      </c>
      <c r="V114" s="3440">
        <v>0</v>
      </c>
      <c r="W114" s="3502">
        <v>0</v>
      </c>
      <c r="X114" s="4270"/>
      <c r="Y114" s="4277"/>
    </row>
    <row r="115" spans="1:27" s="3354" customFormat="1" ht="27" customHeight="1">
      <c r="A115" s="4289" t="s">
        <v>107</v>
      </c>
      <c r="B115" s="3426" t="s">
        <v>504</v>
      </c>
      <c r="C115" s="3341" t="s">
        <v>131</v>
      </c>
      <c r="D115" s="3390"/>
      <c r="E115" s="3427"/>
      <c r="F115" s="3427"/>
      <c r="G115" s="3427"/>
      <c r="H115" s="3427"/>
      <c r="I115" s="3427"/>
      <c r="J115" s="3391"/>
      <c r="K115" s="3391"/>
      <c r="L115" s="3391"/>
      <c r="M115" s="3391"/>
      <c r="N115" s="3391"/>
      <c r="O115" s="3391"/>
      <c r="P115" s="3391"/>
      <c r="Q115" s="3391"/>
      <c r="R115" s="3391"/>
      <c r="S115" s="3391"/>
      <c r="T115" s="3391"/>
      <c r="U115" s="3391"/>
      <c r="V115" s="3392"/>
      <c r="W115" s="3390"/>
      <c r="X115" s="3393"/>
      <c r="Y115" s="4292" t="s">
        <v>185</v>
      </c>
    </row>
    <row r="116" spans="1:27" s="3354" customFormat="1" ht="15.75" customHeight="1">
      <c r="A116" s="4290"/>
      <c r="B116" s="3378" t="s">
        <v>22</v>
      </c>
      <c r="C116" s="3507"/>
      <c r="D116" s="3508">
        <f>+D117</f>
        <v>8000000</v>
      </c>
      <c r="E116" s="3508">
        <f>+E117</f>
        <v>0</v>
      </c>
      <c r="F116" s="3508">
        <f t="shared" ref="F116:X116" si="122">+F117</f>
        <v>0</v>
      </c>
      <c r="G116" s="3508">
        <f t="shared" si="122"/>
        <v>0</v>
      </c>
      <c r="H116" s="3508">
        <f t="shared" si="122"/>
        <v>0</v>
      </c>
      <c r="I116" s="3508">
        <f t="shared" si="122"/>
        <v>0</v>
      </c>
      <c r="J116" s="3508">
        <f t="shared" si="122"/>
        <v>0</v>
      </c>
      <c r="K116" s="3508">
        <f t="shared" si="122"/>
        <v>0</v>
      </c>
      <c r="L116" s="3508">
        <f t="shared" si="122"/>
        <v>0</v>
      </c>
      <c r="M116" s="3508">
        <f t="shared" si="122"/>
        <v>0</v>
      </c>
      <c r="N116" s="3508">
        <f t="shared" si="122"/>
        <v>0</v>
      </c>
      <c r="O116" s="3508">
        <f t="shared" si="122"/>
        <v>0</v>
      </c>
      <c r="P116" s="3508">
        <f t="shared" si="122"/>
        <v>685714</v>
      </c>
      <c r="Q116" s="3508">
        <f t="shared" si="122"/>
        <v>685714</v>
      </c>
      <c r="R116" s="3508">
        <f t="shared" si="122"/>
        <v>685714</v>
      </c>
      <c r="S116" s="3508">
        <f t="shared" si="122"/>
        <v>685714</v>
      </c>
      <c r="T116" s="3508">
        <f t="shared" si="122"/>
        <v>685714</v>
      </c>
      <c r="U116" s="3508">
        <f t="shared" si="122"/>
        <v>685714</v>
      </c>
      <c r="V116" s="3509">
        <f t="shared" si="122"/>
        <v>685714</v>
      </c>
      <c r="W116" s="3509">
        <f t="shared" si="122"/>
        <v>685714</v>
      </c>
      <c r="X116" s="3510">
        <f t="shared" si="122"/>
        <v>8000000</v>
      </c>
      <c r="Y116" s="4293"/>
    </row>
    <row r="117" spans="1:27" s="3485" customFormat="1" ht="17.25" customHeight="1">
      <c r="A117" s="4290"/>
      <c r="B117" s="3355" t="s">
        <v>36</v>
      </c>
      <c r="C117" s="4279" t="s">
        <v>186</v>
      </c>
      <c r="D117" s="3483">
        <f>+D118+D119</f>
        <v>8000000</v>
      </c>
      <c r="E117" s="3483">
        <f t="shared" ref="E117:L117" si="123">+E120</f>
        <v>0</v>
      </c>
      <c r="F117" s="3483">
        <f t="shared" si="123"/>
        <v>0</v>
      </c>
      <c r="G117" s="3483">
        <f t="shared" si="123"/>
        <v>0</v>
      </c>
      <c r="H117" s="3483">
        <f t="shared" si="123"/>
        <v>0</v>
      </c>
      <c r="I117" s="3483">
        <f t="shared" si="123"/>
        <v>0</v>
      </c>
      <c r="J117" s="3483">
        <f t="shared" si="123"/>
        <v>0</v>
      </c>
      <c r="K117" s="3483">
        <f t="shared" si="123"/>
        <v>0</v>
      </c>
      <c r="L117" s="3483">
        <f t="shared" si="123"/>
        <v>0</v>
      </c>
      <c r="M117" s="3356">
        <f t="shared" ref="M117" si="124">+M118+M120</f>
        <v>0</v>
      </c>
      <c r="N117" s="3483">
        <f>+N118+N120</f>
        <v>0</v>
      </c>
      <c r="O117" s="3483">
        <f>+O118+O119</f>
        <v>0</v>
      </c>
      <c r="P117" s="3483">
        <f t="shared" ref="P117:T117" si="125">+P118+P119</f>
        <v>685714</v>
      </c>
      <c r="Q117" s="3483">
        <f t="shared" si="125"/>
        <v>685714</v>
      </c>
      <c r="R117" s="3483">
        <f t="shared" si="125"/>
        <v>685714</v>
      </c>
      <c r="S117" s="3483">
        <f t="shared" si="125"/>
        <v>685714</v>
      </c>
      <c r="T117" s="3483">
        <f t="shared" si="125"/>
        <v>685714</v>
      </c>
      <c r="U117" s="3483">
        <f t="shared" ref="U117:W117" si="126">+U118+U119</f>
        <v>685714</v>
      </c>
      <c r="V117" s="3511">
        <f t="shared" si="126"/>
        <v>685714</v>
      </c>
      <c r="W117" s="3511">
        <f t="shared" si="126"/>
        <v>685714</v>
      </c>
      <c r="X117" s="3477">
        <f>+X118+X119</f>
        <v>8000000</v>
      </c>
      <c r="Y117" s="4293"/>
    </row>
    <row r="118" spans="1:27" s="3485" customFormat="1" ht="17.25" hidden="1" customHeight="1">
      <c r="A118" s="4290"/>
      <c r="B118" s="3512" t="s">
        <v>179</v>
      </c>
      <c r="C118" s="4280"/>
      <c r="D118" s="3486">
        <v>0</v>
      </c>
      <c r="E118" s="3486"/>
      <c r="F118" s="3487"/>
      <c r="G118" s="3513"/>
      <c r="H118" s="3513"/>
      <c r="I118" s="3514"/>
      <c r="J118" s="3514"/>
      <c r="K118" s="3514"/>
      <c r="L118" s="3486"/>
      <c r="M118" s="3449">
        <v>0</v>
      </c>
      <c r="N118" s="3514">
        <v>0</v>
      </c>
      <c r="O118" s="3514">
        <v>0</v>
      </c>
      <c r="P118" s="3514">
        <v>0</v>
      </c>
      <c r="Q118" s="3514">
        <v>0</v>
      </c>
      <c r="R118" s="3514">
        <v>0</v>
      </c>
      <c r="S118" s="3514">
        <v>0</v>
      </c>
      <c r="T118" s="3514">
        <v>0</v>
      </c>
      <c r="U118" s="3514"/>
      <c r="V118" s="3515"/>
      <c r="W118" s="3516"/>
      <c r="X118" s="3299">
        <f>SUM(P118:W118)</f>
        <v>0</v>
      </c>
      <c r="Y118" s="4293"/>
    </row>
    <row r="119" spans="1:27" s="3485" customFormat="1" ht="16.5" customHeight="1" thickBot="1">
      <c r="A119" s="3517"/>
      <c r="B119" s="3491" t="s">
        <v>187</v>
      </c>
      <c r="C119" s="4281"/>
      <c r="D119" s="3453">
        <f>M119+O119+P119+Q119+R119+S119+T119+U119+V119+W119+685714+685714+685714+457146</f>
        <v>8000000</v>
      </c>
      <c r="E119" s="3492">
        <v>0</v>
      </c>
      <c r="F119" s="3493"/>
      <c r="G119" s="3494"/>
      <c r="H119" s="3494"/>
      <c r="I119" s="3481">
        <v>0</v>
      </c>
      <c r="J119" s="3474">
        <v>0</v>
      </c>
      <c r="K119" s="3474">
        <v>0</v>
      </c>
      <c r="L119" s="3492">
        <v>0</v>
      </c>
      <c r="M119" s="3423">
        <v>0</v>
      </c>
      <c r="N119" s="3474">
        <v>0</v>
      </c>
      <c r="O119" s="3514">
        <v>0</v>
      </c>
      <c r="P119" s="3514">
        <f>1000000-314286</f>
        <v>685714</v>
      </c>
      <c r="Q119" s="3514">
        <f>1000000-314286</f>
        <v>685714</v>
      </c>
      <c r="R119" s="3514">
        <f>1000000-314286</f>
        <v>685714</v>
      </c>
      <c r="S119" s="3514">
        <f>1000000-314286</f>
        <v>685714</v>
      </c>
      <c r="T119" s="3514">
        <f>1000000-314286</f>
        <v>685714</v>
      </c>
      <c r="U119" s="3514">
        <f t="shared" ref="U119:W119" si="127">1000000-314286</f>
        <v>685714</v>
      </c>
      <c r="V119" s="3515">
        <f t="shared" si="127"/>
        <v>685714</v>
      </c>
      <c r="W119" s="3515">
        <f t="shared" si="127"/>
        <v>685714</v>
      </c>
      <c r="X119" s="3518">
        <f>SUM(P119:W119)+685714+685714+685714+457146</f>
        <v>8000000</v>
      </c>
      <c r="Y119" s="4294"/>
      <c r="Z119" s="3514">
        <f>685714+685714+685714+457146</f>
        <v>2514288</v>
      </c>
    </row>
    <row r="120" spans="1:27" s="3354" customFormat="1" ht="26.25" customHeight="1">
      <c r="A120" s="4289" t="s">
        <v>109</v>
      </c>
      <c r="B120" s="3480" t="s">
        <v>404</v>
      </c>
      <c r="C120" s="3341" t="s">
        <v>131</v>
      </c>
      <c r="D120" s="3390"/>
      <c r="E120" s="3427"/>
      <c r="F120" s="3427"/>
      <c r="G120" s="3427"/>
      <c r="H120" s="3427"/>
      <c r="I120" s="3427"/>
      <c r="J120" s="3391"/>
      <c r="K120" s="3391"/>
      <c r="L120" s="3391"/>
      <c r="M120" s="3391"/>
      <c r="N120" s="3391"/>
      <c r="O120" s="3391"/>
      <c r="P120" s="3391"/>
      <c r="Q120" s="3391"/>
      <c r="R120" s="3391"/>
      <c r="S120" s="3391"/>
      <c r="T120" s="3391"/>
      <c r="U120" s="3391"/>
      <c r="V120" s="3392"/>
      <c r="W120" s="3390"/>
      <c r="X120" s="3393"/>
      <c r="Y120" s="4292" t="s">
        <v>177</v>
      </c>
    </row>
    <row r="121" spans="1:27" s="3354" customFormat="1" ht="13.5" customHeight="1">
      <c r="A121" s="4290"/>
      <c r="B121" s="3378" t="s">
        <v>22</v>
      </c>
      <c r="C121" s="3379"/>
      <c r="D121" s="3349">
        <f>+D122</f>
        <v>6000000</v>
      </c>
      <c r="E121" s="3349">
        <f>+E122</f>
        <v>0</v>
      </c>
      <c r="F121" s="3349">
        <f t="shared" ref="F121:W121" si="128">+F122</f>
        <v>0</v>
      </c>
      <c r="G121" s="3349">
        <f t="shared" si="128"/>
        <v>0</v>
      </c>
      <c r="H121" s="3349">
        <f t="shared" si="128"/>
        <v>0</v>
      </c>
      <c r="I121" s="3349">
        <f t="shared" si="128"/>
        <v>0</v>
      </c>
      <c r="J121" s="3349">
        <f t="shared" si="128"/>
        <v>0</v>
      </c>
      <c r="K121" s="3349">
        <f t="shared" si="128"/>
        <v>0</v>
      </c>
      <c r="L121" s="3349">
        <f t="shared" si="128"/>
        <v>0</v>
      </c>
      <c r="M121" s="3349">
        <f t="shared" si="128"/>
        <v>0</v>
      </c>
      <c r="N121" s="3349">
        <f t="shared" si="128"/>
        <v>0</v>
      </c>
      <c r="O121" s="3349">
        <f t="shared" si="128"/>
        <v>1027241</v>
      </c>
      <c r="P121" s="3349">
        <f t="shared" si="128"/>
        <v>1629446</v>
      </c>
      <c r="Q121" s="3349">
        <f t="shared" si="128"/>
        <v>1570232</v>
      </c>
      <c r="R121" s="3349">
        <f t="shared" si="128"/>
        <v>1511018</v>
      </c>
      <c r="S121" s="3349">
        <f t="shared" si="128"/>
        <v>262063</v>
      </c>
      <c r="T121" s="3399">
        <f t="shared" si="128"/>
        <v>0</v>
      </c>
      <c r="U121" s="3399">
        <f t="shared" si="128"/>
        <v>0</v>
      </c>
      <c r="V121" s="3400">
        <f t="shared" si="128"/>
        <v>0</v>
      </c>
      <c r="W121" s="3400">
        <f t="shared" si="128"/>
        <v>0</v>
      </c>
      <c r="X121" s="3401">
        <f>+X122</f>
        <v>4972759</v>
      </c>
      <c r="Y121" s="4293"/>
    </row>
    <row r="122" spans="1:27" s="3485" customFormat="1" ht="13.5" customHeight="1">
      <c r="A122" s="4290"/>
      <c r="B122" s="3355" t="s">
        <v>36</v>
      </c>
      <c r="C122" s="4279" t="s">
        <v>186</v>
      </c>
      <c r="D122" s="3483">
        <f>+D123+D124</f>
        <v>6000000</v>
      </c>
      <c r="E122" s="3483">
        <f t="shared" ref="E122:L122" si="129">+E124</f>
        <v>0</v>
      </c>
      <c r="F122" s="3483">
        <f t="shared" si="129"/>
        <v>0</v>
      </c>
      <c r="G122" s="3483">
        <f t="shared" si="129"/>
        <v>0</v>
      </c>
      <c r="H122" s="3483">
        <f t="shared" si="129"/>
        <v>0</v>
      </c>
      <c r="I122" s="3483">
        <f t="shared" si="129"/>
        <v>0</v>
      </c>
      <c r="J122" s="3483">
        <f t="shared" si="129"/>
        <v>0</v>
      </c>
      <c r="K122" s="3483">
        <f t="shared" si="129"/>
        <v>0</v>
      </c>
      <c r="L122" s="3483">
        <f t="shared" si="129"/>
        <v>0</v>
      </c>
      <c r="M122" s="3356">
        <f t="shared" ref="M122" si="130">+M123+M124</f>
        <v>0</v>
      </c>
      <c r="N122" s="3483">
        <f>+N123+N124</f>
        <v>0</v>
      </c>
      <c r="O122" s="3483">
        <f>+O123+O124</f>
        <v>1027241</v>
      </c>
      <c r="P122" s="3483">
        <f>+P123+P124</f>
        <v>1629446</v>
      </c>
      <c r="Q122" s="3483">
        <f>+Q123+Q124</f>
        <v>1570232</v>
      </c>
      <c r="R122" s="3483">
        <f>+R123+R124</f>
        <v>1511018</v>
      </c>
      <c r="S122" s="3483">
        <f t="shared" ref="S122:T122" si="131">+S123+S124</f>
        <v>262063</v>
      </c>
      <c r="T122" s="3519">
        <f t="shared" si="131"/>
        <v>0</v>
      </c>
      <c r="U122" s="3519">
        <f t="shared" ref="U122:W122" si="132">+U123+U124</f>
        <v>0</v>
      </c>
      <c r="V122" s="3520">
        <f t="shared" si="132"/>
        <v>0</v>
      </c>
      <c r="W122" s="3520">
        <f t="shared" si="132"/>
        <v>0</v>
      </c>
      <c r="X122" s="3477">
        <f>+X124</f>
        <v>4972759</v>
      </c>
      <c r="Y122" s="4293"/>
      <c r="AA122" s="3521"/>
    </row>
    <row r="123" spans="1:27" s="3485" customFormat="1" ht="13.5" customHeight="1">
      <c r="A123" s="4290"/>
      <c r="B123" s="3407" t="s">
        <v>179</v>
      </c>
      <c r="C123" s="4280"/>
      <c r="D123" s="3362">
        <f t="shared" ref="D123:D124" si="133">M123+O123+P123+Q123+R123+S123+T123+U123+V123+W123</f>
        <v>1027241</v>
      </c>
      <c r="E123" s="3486"/>
      <c r="F123" s="3487"/>
      <c r="G123" s="3488"/>
      <c r="H123" s="3488"/>
      <c r="I123" s="3453"/>
      <c r="J123" s="3453"/>
      <c r="K123" s="3453"/>
      <c r="L123" s="3489"/>
      <c r="M123" s="3362">
        <f t="shared" ref="M123:M124" si="134">+L123+K123+J123+I123+E123+N123</f>
        <v>0</v>
      </c>
      <c r="N123" s="3453">
        <v>0</v>
      </c>
      <c r="O123" s="3453">
        <v>1027241</v>
      </c>
      <c r="P123" s="3453">
        <v>0</v>
      </c>
      <c r="Q123" s="3453">
        <v>0</v>
      </c>
      <c r="R123" s="3453">
        <v>0</v>
      </c>
      <c r="S123" s="3453">
        <v>0</v>
      </c>
      <c r="T123" s="3454">
        <v>0</v>
      </c>
      <c r="U123" s="3454">
        <v>0</v>
      </c>
      <c r="V123" s="3455">
        <v>0</v>
      </c>
      <c r="W123" s="3455">
        <v>0</v>
      </c>
      <c r="X123" s="3522" t="s">
        <v>77</v>
      </c>
      <c r="Y123" s="4293"/>
    </row>
    <row r="124" spans="1:27" s="3485" customFormat="1" ht="13.5" customHeight="1" thickBot="1">
      <c r="A124" s="4291"/>
      <c r="B124" s="3491" t="s">
        <v>187</v>
      </c>
      <c r="C124" s="4281"/>
      <c r="D124" s="3362">
        <f t="shared" si="133"/>
        <v>4972759</v>
      </c>
      <c r="E124" s="3492">
        <v>0</v>
      </c>
      <c r="F124" s="3493"/>
      <c r="G124" s="3494"/>
      <c r="H124" s="3494"/>
      <c r="I124" s="3481">
        <v>0</v>
      </c>
      <c r="J124" s="3474">
        <v>0</v>
      </c>
      <c r="K124" s="3474">
        <v>0</v>
      </c>
      <c r="L124" s="3492">
        <v>0</v>
      </c>
      <c r="M124" s="3362">
        <f t="shared" si="134"/>
        <v>0</v>
      </c>
      <c r="N124" s="3474">
        <v>0</v>
      </c>
      <c r="O124" s="3481">
        <v>0</v>
      </c>
      <c r="P124" s="3474">
        <v>1629446</v>
      </c>
      <c r="Q124" s="3474">
        <v>1570232</v>
      </c>
      <c r="R124" s="3474">
        <v>1511018</v>
      </c>
      <c r="S124" s="3474">
        <v>262063</v>
      </c>
      <c r="T124" s="3475">
        <v>0</v>
      </c>
      <c r="U124" s="3475">
        <v>0</v>
      </c>
      <c r="V124" s="3476">
        <v>0</v>
      </c>
      <c r="W124" s="3476">
        <v>0</v>
      </c>
      <c r="X124" s="3523">
        <f>SUM(P124:W124)</f>
        <v>4972759</v>
      </c>
      <c r="Y124" s="4295"/>
    </row>
    <row r="125" spans="1:27" s="3485" customFormat="1" ht="48.75" customHeight="1">
      <c r="A125" s="4289" t="s">
        <v>110</v>
      </c>
      <c r="B125" s="3480" t="s">
        <v>518</v>
      </c>
      <c r="C125" s="3341" t="s">
        <v>131</v>
      </c>
      <c r="D125" s="3390"/>
      <c r="E125" s="3427"/>
      <c r="F125" s="3427"/>
      <c r="G125" s="3427"/>
      <c r="H125" s="3427"/>
      <c r="I125" s="3427"/>
      <c r="J125" s="3391"/>
      <c r="K125" s="3391"/>
      <c r="L125" s="3391"/>
      <c r="M125" s="3391"/>
      <c r="N125" s="3391"/>
      <c r="O125" s="3391"/>
      <c r="P125" s="3391"/>
      <c r="Q125" s="3391"/>
      <c r="R125" s="3391"/>
      <c r="S125" s="3391"/>
      <c r="T125" s="3391"/>
      <c r="U125" s="3427"/>
      <c r="V125" s="3427"/>
      <c r="W125" s="3524"/>
      <c r="X125" s="3525"/>
      <c r="Y125" s="4283" t="s">
        <v>536</v>
      </c>
    </row>
    <row r="126" spans="1:27" s="3485" customFormat="1" ht="13.5" customHeight="1">
      <c r="A126" s="4290"/>
      <c r="B126" s="3378" t="s">
        <v>22</v>
      </c>
      <c r="C126" s="3379"/>
      <c r="D126" s="3349">
        <f>+D129</f>
        <v>2799999.6399999997</v>
      </c>
      <c r="E126" s="3349"/>
      <c r="F126" s="3349"/>
      <c r="G126" s="3349"/>
      <c r="H126" s="3349"/>
      <c r="I126" s="3349"/>
      <c r="J126" s="3349"/>
      <c r="K126" s="3349"/>
      <c r="L126" s="3349"/>
      <c r="M126" s="3349"/>
      <c r="N126" s="3349"/>
      <c r="O126" s="3349"/>
      <c r="P126" s="3349">
        <f t="shared" ref="P126:W126" si="135">+P127</f>
        <v>116666.64</v>
      </c>
      <c r="Q126" s="3349">
        <f t="shared" si="135"/>
        <v>233333</v>
      </c>
      <c r="R126" s="3349">
        <f t="shared" si="135"/>
        <v>233333</v>
      </c>
      <c r="S126" s="3349">
        <f t="shared" si="135"/>
        <v>233333</v>
      </c>
      <c r="T126" s="3349">
        <f t="shared" si="135"/>
        <v>233333</v>
      </c>
      <c r="U126" s="3349">
        <f t="shared" si="135"/>
        <v>233333</v>
      </c>
      <c r="V126" s="3349">
        <f t="shared" si="135"/>
        <v>233333</v>
      </c>
      <c r="W126" s="3349">
        <f t="shared" si="135"/>
        <v>233333</v>
      </c>
      <c r="X126" s="3526">
        <f>+X127</f>
        <v>2799999.6399999997</v>
      </c>
      <c r="Y126" s="4284"/>
    </row>
    <row r="127" spans="1:27" s="3485" customFormat="1" ht="13.5" customHeight="1">
      <c r="A127" s="4290"/>
      <c r="B127" s="3355" t="s">
        <v>36</v>
      </c>
      <c r="C127" s="4279" t="s">
        <v>186</v>
      </c>
      <c r="D127" s="3483">
        <f>+D129</f>
        <v>2799999.6399999997</v>
      </c>
      <c r="E127" s="3483"/>
      <c r="F127" s="3483"/>
      <c r="G127" s="3483"/>
      <c r="H127" s="3483"/>
      <c r="I127" s="3483"/>
      <c r="J127" s="3483"/>
      <c r="K127" s="3483"/>
      <c r="L127" s="3483"/>
      <c r="M127" s="3356"/>
      <c r="N127" s="3483"/>
      <c r="O127" s="3483"/>
      <c r="P127" s="3483">
        <f>+P128+P129</f>
        <v>116666.64</v>
      </c>
      <c r="Q127" s="3483">
        <f>+Q128+Q129</f>
        <v>233333</v>
      </c>
      <c r="R127" s="3483">
        <f>+R128+R129</f>
        <v>233333</v>
      </c>
      <c r="S127" s="3483">
        <f t="shared" ref="S127:W127" si="136">+S128+S129</f>
        <v>233333</v>
      </c>
      <c r="T127" s="3483">
        <f t="shared" si="136"/>
        <v>233333</v>
      </c>
      <c r="U127" s="3483">
        <f t="shared" si="136"/>
        <v>233333</v>
      </c>
      <c r="V127" s="3483">
        <f t="shared" si="136"/>
        <v>233333</v>
      </c>
      <c r="W127" s="3483">
        <f t="shared" si="136"/>
        <v>233333</v>
      </c>
      <c r="X127" s="3477">
        <f>+X129</f>
        <v>2799999.6399999997</v>
      </c>
      <c r="Y127" s="4284"/>
    </row>
    <row r="128" spans="1:27" s="3485" customFormat="1" ht="12.75" hidden="1" customHeight="1">
      <c r="A128" s="4290"/>
      <c r="B128" s="3407" t="s">
        <v>179</v>
      </c>
      <c r="C128" s="4280"/>
      <c r="D128" s="3362"/>
      <c r="E128" s="3486"/>
      <c r="F128" s="3487"/>
      <c r="G128" s="3488"/>
      <c r="H128" s="3488"/>
      <c r="I128" s="3453"/>
      <c r="J128" s="3453"/>
      <c r="K128" s="3453"/>
      <c r="L128" s="3489"/>
      <c r="M128" s="3362"/>
      <c r="N128" s="3453"/>
      <c r="O128" s="3453"/>
      <c r="P128" s="3453">
        <v>0</v>
      </c>
      <c r="Q128" s="3453">
        <v>0</v>
      </c>
      <c r="R128" s="3453">
        <v>0</v>
      </c>
      <c r="S128" s="3453">
        <v>0</v>
      </c>
      <c r="T128" s="3453">
        <v>0</v>
      </c>
      <c r="U128" s="3453"/>
      <c r="V128" s="3453"/>
      <c r="W128" s="3453"/>
      <c r="X128" s="3304"/>
      <c r="Y128" s="4284"/>
    </row>
    <row r="129" spans="1:31" s="3485" customFormat="1" ht="13.5" customHeight="1" thickBot="1">
      <c r="A129" s="4291"/>
      <c r="B129" s="3491" t="s">
        <v>187</v>
      </c>
      <c r="C129" s="4281"/>
      <c r="D129" s="3362">
        <f>+X129</f>
        <v>2799999.6399999997</v>
      </c>
      <c r="E129" s="3492"/>
      <c r="F129" s="3493"/>
      <c r="G129" s="3494"/>
      <c r="H129" s="3494"/>
      <c r="I129" s="3481"/>
      <c r="J129" s="3474"/>
      <c r="K129" s="3474"/>
      <c r="L129" s="3492"/>
      <c r="M129" s="3362"/>
      <c r="N129" s="3474"/>
      <c r="O129" s="3481"/>
      <c r="P129" s="3453">
        <v>116666.64</v>
      </c>
      <c r="Q129" s="3453">
        <v>233333</v>
      </c>
      <c r="R129" s="3453">
        <v>233333</v>
      </c>
      <c r="S129" s="3453">
        <v>233333</v>
      </c>
      <c r="T129" s="3453">
        <v>233333</v>
      </c>
      <c r="U129" s="3453">
        <v>233333</v>
      </c>
      <c r="V129" s="3453">
        <v>233333</v>
      </c>
      <c r="W129" s="3453">
        <v>233333</v>
      </c>
      <c r="X129" s="3401">
        <f>+W129+V129+U129+T129+S129+R129+Q129+P129+1050002</f>
        <v>2799999.6399999997</v>
      </c>
      <c r="Y129" s="4285"/>
      <c r="Z129" s="3485">
        <v>1050002</v>
      </c>
    </row>
    <row r="130" spans="1:31" s="3266" customFormat="1">
      <c r="A130" s="4282" t="s">
        <v>449</v>
      </c>
      <c r="B130" s="4282"/>
      <c r="C130" s="4282"/>
      <c r="D130" s="4282"/>
      <c r="E130" s="4282"/>
      <c r="F130" s="4282"/>
      <c r="G130" s="4282"/>
      <c r="H130" s="4282"/>
      <c r="I130" s="4282"/>
      <c r="J130" s="4282"/>
      <c r="K130" s="4282"/>
      <c r="L130" s="4282"/>
      <c r="M130" s="4282"/>
      <c r="N130" s="4282"/>
      <c r="O130" s="4282"/>
      <c r="P130" s="4282"/>
      <c r="Q130" s="4282"/>
      <c r="R130" s="4282"/>
      <c r="S130" s="4282"/>
      <c r="T130" s="4282"/>
      <c r="U130" s="4282"/>
      <c r="V130" s="4282"/>
      <c r="W130" s="4282"/>
      <c r="X130" s="3527"/>
      <c r="Y130" s="3528"/>
    </row>
    <row r="131" spans="1:31" s="3257" customFormat="1" ht="11.25">
      <c r="A131" s="4255" t="s">
        <v>505</v>
      </c>
      <c r="B131" s="4255"/>
      <c r="C131" s="4255"/>
      <c r="D131" s="4255"/>
      <c r="E131" s="4255"/>
      <c r="F131" s="4255"/>
      <c r="G131" s="4255"/>
      <c r="H131" s="4255"/>
      <c r="I131" s="4255"/>
      <c r="J131" s="4255"/>
      <c r="K131" s="4255"/>
      <c r="L131" s="4255"/>
      <c r="M131" s="4255"/>
      <c r="N131" s="4255"/>
      <c r="O131" s="4255"/>
      <c r="P131" s="4255"/>
      <c r="Q131" s="4255"/>
      <c r="R131" s="4255"/>
      <c r="S131" s="4255"/>
      <c r="T131" s="4255"/>
      <c r="U131" s="4255"/>
      <c r="V131" s="4255"/>
      <c r="W131" s="4255"/>
      <c r="X131" s="4255"/>
      <c r="Y131" s="4255"/>
    </row>
    <row r="132" spans="1:31" s="3257" customFormat="1" ht="11.25">
      <c r="A132" s="4255" t="s">
        <v>531</v>
      </c>
      <c r="B132" s="4255"/>
      <c r="C132" s="4255"/>
      <c r="D132" s="4255"/>
      <c r="E132" s="4255"/>
      <c r="F132" s="4255"/>
      <c r="G132" s="4255"/>
      <c r="H132" s="4255"/>
      <c r="I132" s="4255"/>
      <c r="J132" s="4255"/>
      <c r="K132" s="4255"/>
      <c r="L132" s="4255"/>
      <c r="M132" s="4255"/>
      <c r="N132" s="4255"/>
      <c r="O132" s="4255"/>
      <c r="P132" s="4255"/>
      <c r="Q132" s="4255"/>
      <c r="R132" s="4255"/>
      <c r="S132" s="4255"/>
      <c r="T132" s="4255"/>
      <c r="U132" s="4255"/>
      <c r="V132" s="4255"/>
      <c r="W132" s="4255"/>
    </row>
    <row r="133" spans="1:31" s="3530" customFormat="1" ht="16.5" customHeight="1">
      <c r="A133" s="3529" t="s">
        <v>361</v>
      </c>
      <c r="J133" s="3222"/>
      <c r="K133" s="3222"/>
      <c r="L133" s="3223"/>
      <c r="M133" s="3223"/>
      <c r="N133" s="3222"/>
      <c r="O133" s="3222"/>
      <c r="P133" s="3222"/>
      <c r="Q133" s="3222"/>
      <c r="R133" s="3222"/>
      <c r="S133" s="3222"/>
      <c r="T133" s="3222"/>
      <c r="U133" s="3222"/>
      <c r="V133" s="3222"/>
      <c r="W133" s="3222"/>
      <c r="X133" s="3222"/>
      <c r="Y133" s="3531"/>
    </row>
    <row r="134" spans="1:31" s="3532" customFormat="1" ht="13.5" customHeight="1">
      <c r="D134" s="3533"/>
      <c r="J134" s="3222"/>
      <c r="K134" s="3223"/>
      <c r="L134" s="3222"/>
      <c r="M134" s="3222"/>
      <c r="N134" s="3222"/>
      <c r="O134" s="3222"/>
      <c r="P134" s="3223"/>
      <c r="Q134" s="3223"/>
      <c r="R134" s="3223"/>
      <c r="S134" s="3223"/>
      <c r="T134" s="3223"/>
      <c r="U134" s="3223"/>
      <c r="V134" s="3223"/>
      <c r="W134" s="3223"/>
      <c r="X134" s="3222"/>
      <c r="Y134" s="3531"/>
    </row>
    <row r="135" spans="1:31" s="3534" customFormat="1" ht="12.75" customHeight="1">
      <c r="J135" s="3535"/>
      <c r="K135" s="3535"/>
      <c r="L135" s="3535"/>
      <c r="M135" s="3535"/>
      <c r="N135" s="3535"/>
      <c r="O135" s="3222"/>
      <c r="P135" s="3222"/>
      <c r="Q135" s="3222"/>
      <c r="R135" s="3222"/>
      <c r="S135" s="3222"/>
      <c r="T135" s="3222"/>
      <c r="U135" s="3222"/>
      <c r="V135" s="3222"/>
      <c r="W135" s="3222"/>
      <c r="X135" s="3222"/>
      <c r="Y135" s="3531"/>
    </row>
    <row r="136" spans="1:31" s="3354" customFormat="1" ht="10.5" customHeight="1">
      <c r="A136" s="3221"/>
      <c r="B136" s="3222"/>
      <c r="C136" s="3222"/>
      <c r="D136" s="3223"/>
      <c r="E136" s="3222"/>
      <c r="F136" s="3222"/>
      <c r="G136" s="3222"/>
      <c r="H136" s="3222"/>
      <c r="I136" s="3222"/>
      <c r="J136" s="3222"/>
      <c r="K136" s="3222"/>
      <c r="L136" s="3222"/>
      <c r="M136" s="3222"/>
      <c r="N136" s="3222"/>
      <c r="O136" s="3222">
        <f>1000000+1000000+916667</f>
        <v>2916667</v>
      </c>
      <c r="P136" s="3222"/>
      <c r="Q136" s="3222"/>
      <c r="R136" s="3222"/>
      <c r="S136" s="3222"/>
      <c r="T136" s="3222"/>
      <c r="U136" s="3222"/>
      <c r="V136" s="3222"/>
      <c r="W136" s="3222"/>
      <c r="X136" s="3222"/>
      <c r="Y136" s="3531"/>
    </row>
    <row r="137" spans="1:31" s="3532" customFormat="1" ht="15.75" customHeight="1">
      <c r="B137" s="3222"/>
      <c r="C137" s="3222"/>
      <c r="D137" s="3222"/>
      <c r="E137" s="3222"/>
      <c r="F137" s="3222"/>
      <c r="G137" s="3222"/>
      <c r="H137" s="3222"/>
      <c r="I137" s="3222"/>
      <c r="J137" s="3222"/>
      <c r="K137" s="3222"/>
      <c r="L137" s="3222"/>
      <c r="M137" s="3222"/>
      <c r="N137" s="3222"/>
      <c r="O137" s="3222"/>
      <c r="P137" s="3536">
        <v>2016</v>
      </c>
      <c r="Q137" s="3536">
        <v>2017</v>
      </c>
      <c r="R137" s="3536">
        <v>2018</v>
      </c>
      <c r="S137" s="3536">
        <v>2019</v>
      </c>
      <c r="T137" s="3536">
        <v>2020</v>
      </c>
      <c r="U137" s="3536">
        <v>2021</v>
      </c>
      <c r="V137" s="3536">
        <v>2022</v>
      </c>
      <c r="W137" s="3536">
        <v>2023</v>
      </c>
      <c r="X137" s="3536">
        <v>2024</v>
      </c>
      <c r="Y137" s="3536">
        <v>2025</v>
      </c>
      <c r="Z137" s="3536">
        <v>2026</v>
      </c>
      <c r="AA137" s="3536">
        <v>2027</v>
      </c>
      <c r="AB137" s="3536">
        <v>2028</v>
      </c>
      <c r="AC137" s="3536"/>
      <c r="AD137" s="3536"/>
      <c r="AE137" s="3536"/>
    </row>
    <row r="138" spans="1:31" s="3532" customFormat="1" ht="15.75" customHeight="1">
      <c r="A138" s="3221"/>
      <c r="B138" s="3537" t="s">
        <v>450</v>
      </c>
      <c r="C138" s="3537"/>
      <c r="D138" s="3538"/>
      <c r="E138" s="3538"/>
      <c r="F138" s="3538"/>
      <c r="G138" s="3538"/>
      <c r="H138" s="3538"/>
      <c r="I138" s="3537"/>
      <c r="J138" s="3537"/>
      <c r="K138" s="3537"/>
      <c r="L138" s="3537"/>
      <c r="M138" s="3537"/>
      <c r="N138" s="3537"/>
      <c r="O138" s="3223">
        <f>+O124+O119+O91+O86+O81</f>
        <v>0</v>
      </c>
      <c r="P138" s="3539">
        <f t="shared" ref="P138:W138" si="137">+P124+P119+P91+P86+P81+P129</f>
        <v>5637206.6399999997</v>
      </c>
      <c r="Q138" s="3539">
        <f t="shared" si="137"/>
        <v>5050955</v>
      </c>
      <c r="R138" s="3539">
        <f t="shared" si="137"/>
        <v>5329509</v>
      </c>
      <c r="S138" s="3539">
        <f t="shared" si="137"/>
        <v>2261110</v>
      </c>
      <c r="T138" s="3539">
        <f t="shared" si="137"/>
        <v>1999047</v>
      </c>
      <c r="U138" s="3539">
        <f t="shared" si="137"/>
        <v>1999047</v>
      </c>
      <c r="V138" s="3539">
        <f t="shared" si="137"/>
        <v>1859047</v>
      </c>
      <c r="W138" s="3539">
        <f t="shared" si="137"/>
        <v>919047</v>
      </c>
      <c r="X138" s="3539">
        <f>685714+233333</f>
        <v>919047</v>
      </c>
      <c r="Y138" s="3539">
        <f>685714+233333</f>
        <v>919047</v>
      </c>
      <c r="Z138" s="3539">
        <f>685714+233333</f>
        <v>919047</v>
      </c>
      <c r="AA138" s="3539">
        <f>457146+233333</f>
        <v>690479</v>
      </c>
      <c r="AB138" s="3539">
        <v>116670</v>
      </c>
      <c r="AC138" s="3539"/>
      <c r="AD138" s="3539" t="e">
        <f>+#REF!+#REF!+#REF!+#REF!+#REF!+#REF!</f>
        <v>#REF!</v>
      </c>
      <c r="AE138" s="3539"/>
    </row>
    <row r="139" spans="1:31" s="3532" customFormat="1" ht="15.75" customHeight="1">
      <c r="A139" s="3221"/>
      <c r="B139" s="3222"/>
      <c r="C139" s="3222"/>
      <c r="D139" s="3223"/>
      <c r="E139" s="3222"/>
      <c r="F139" s="3222"/>
      <c r="G139" s="3222"/>
      <c r="H139" s="3222"/>
      <c r="I139" s="3222"/>
      <c r="J139" s="3222"/>
      <c r="K139" s="3222"/>
      <c r="L139" s="3222"/>
      <c r="M139" s="3222"/>
      <c r="N139" s="3222"/>
      <c r="O139" s="3222"/>
      <c r="P139" s="3222"/>
      <c r="Q139" s="3222"/>
      <c r="R139" s="3222"/>
      <c r="S139" s="3222"/>
      <c r="T139" s="3222"/>
      <c r="U139" s="3222"/>
      <c r="V139" s="3222"/>
      <c r="W139" s="3222"/>
      <c r="X139" s="3222"/>
      <c r="Y139" s="3531"/>
      <c r="AD139" s="3533">
        <f>SUM(P138:AB138)</f>
        <v>28619258.640000001</v>
      </c>
    </row>
    <row r="140" spans="1:31" s="3532" customFormat="1" ht="12" customHeight="1">
      <c r="A140" s="3221"/>
      <c r="B140" s="3222"/>
      <c r="C140" s="3222"/>
      <c r="D140" s="3223"/>
      <c r="E140" s="3222"/>
      <c r="F140" s="3222"/>
      <c r="G140" s="3223">
        <f>+E138-G138-H138</f>
        <v>0</v>
      </c>
      <c r="H140" s="3222"/>
      <c r="I140" s="3222"/>
      <c r="J140" s="3222"/>
      <c r="K140" s="3222"/>
      <c r="L140" s="3222"/>
      <c r="M140" s="3222"/>
      <c r="N140" s="3222"/>
      <c r="O140" s="3222"/>
      <c r="P140" s="3222"/>
      <c r="Q140" s="3222"/>
      <c r="R140" s="3222"/>
      <c r="S140" s="3222"/>
      <c r="T140" s="3222"/>
      <c r="U140" s="3222"/>
      <c r="V140" s="3222"/>
      <c r="W140" s="3222"/>
      <c r="X140" s="3222"/>
      <c r="Y140" s="3531"/>
      <c r="AB140" s="3533"/>
      <c r="AD140" s="3533" t="e">
        <f>+AD138-AD139</f>
        <v>#REF!</v>
      </c>
    </row>
    <row r="141" spans="1:31" s="3540" customFormat="1" ht="22.5" customHeight="1">
      <c r="A141" s="3221"/>
      <c r="B141" s="3222"/>
      <c r="C141" s="3222"/>
      <c r="D141" s="3222"/>
      <c r="E141" s="3222"/>
      <c r="F141" s="3222"/>
      <c r="G141" s="3222"/>
      <c r="H141" s="3222"/>
      <c r="I141" s="3222"/>
      <c r="J141" s="3222"/>
      <c r="K141" s="3222"/>
      <c r="L141" s="3222"/>
      <c r="M141" s="3222"/>
      <c r="N141" s="3222"/>
      <c r="O141" s="3222" t="s">
        <v>191</v>
      </c>
      <c r="P141" s="3222"/>
      <c r="Q141" s="3222"/>
      <c r="R141" s="3222"/>
      <c r="S141" s="3222"/>
      <c r="T141" s="3222"/>
      <c r="U141" s="3222"/>
      <c r="V141" s="3222"/>
      <c r="W141" s="3222"/>
      <c r="X141" s="3222"/>
      <c r="Y141" s="3531"/>
    </row>
    <row r="142" spans="1:31" s="3354" customFormat="1" ht="12.75" customHeight="1">
      <c r="A142" s="3221"/>
      <c r="B142" s="3222"/>
      <c r="C142" s="3222"/>
      <c r="D142" s="3222"/>
      <c r="E142" s="3222"/>
      <c r="F142" s="3222"/>
      <c r="G142" s="3222"/>
      <c r="H142" s="3222"/>
      <c r="I142" s="3222"/>
      <c r="J142" s="3222"/>
      <c r="K142" s="3222"/>
      <c r="L142" s="3222"/>
      <c r="M142" s="3222"/>
      <c r="N142" s="3222"/>
      <c r="O142" s="3222"/>
      <c r="P142" s="3222"/>
      <c r="Q142" s="3222"/>
      <c r="R142" s="3222"/>
      <c r="S142" s="3222"/>
      <c r="T142" s="3222"/>
      <c r="U142" s="3222"/>
      <c r="V142" s="3222"/>
      <c r="W142" s="3222"/>
      <c r="X142" s="3222"/>
      <c r="Y142" s="3531"/>
    </row>
    <row r="143" spans="1:31" s="3354" customFormat="1" ht="12.75" customHeight="1">
      <c r="A143" s="3541"/>
      <c r="B143" s="3222"/>
      <c r="C143" s="3222"/>
      <c r="D143" s="3222"/>
      <c r="E143" s="3222"/>
      <c r="F143" s="3222"/>
      <c r="G143" s="3222"/>
      <c r="H143" s="3222"/>
      <c r="I143" s="3222"/>
      <c r="J143" s="3222"/>
      <c r="K143" s="3222"/>
      <c r="L143" s="3222"/>
      <c r="M143" s="3222"/>
      <c r="N143" s="3222"/>
      <c r="O143" s="3222"/>
      <c r="P143" s="3222"/>
      <c r="Q143" s="3222"/>
      <c r="R143" s="3222"/>
      <c r="S143" s="3222"/>
      <c r="T143" s="3222"/>
      <c r="U143" s="3222"/>
      <c r="V143" s="3222"/>
      <c r="W143" s="3222"/>
      <c r="X143" s="3222"/>
      <c r="Y143" s="3531"/>
    </row>
    <row r="144" spans="1:31" s="3354" customFormat="1">
      <c r="A144" s="3221"/>
      <c r="B144" s="3222"/>
      <c r="C144" s="3222"/>
      <c r="D144" s="3222"/>
      <c r="E144" s="3222"/>
      <c r="F144" s="3222"/>
      <c r="G144" s="3222"/>
      <c r="H144" s="3222"/>
      <c r="I144" s="3222"/>
      <c r="J144" s="3222"/>
      <c r="K144" s="3222"/>
      <c r="L144" s="3222"/>
      <c r="M144" s="3222"/>
      <c r="N144" s="3222"/>
      <c r="O144" s="3222"/>
      <c r="P144" s="3222"/>
      <c r="Q144" s="3222"/>
      <c r="R144" s="3222"/>
      <c r="S144" s="3222"/>
      <c r="T144" s="3222"/>
      <c r="U144" s="3222"/>
      <c r="V144" s="3222"/>
      <c r="W144" s="3222"/>
      <c r="X144" s="3222"/>
      <c r="Y144" s="3531"/>
    </row>
    <row r="145" spans="1:25" s="3540" customFormat="1" ht="14.25" customHeight="1">
      <c r="A145" s="3221"/>
      <c r="B145" s="3222"/>
      <c r="C145" s="3222"/>
      <c r="D145" s="3222"/>
      <c r="E145" s="3222"/>
      <c r="F145" s="3222"/>
      <c r="G145" s="3222"/>
      <c r="H145" s="3222"/>
      <c r="I145" s="3222"/>
      <c r="J145" s="3222"/>
      <c r="K145" s="3222"/>
      <c r="L145" s="3222"/>
      <c r="M145" s="3222"/>
      <c r="N145" s="3222"/>
      <c r="O145" s="3222"/>
      <c r="P145" s="3222"/>
      <c r="Q145" s="3222"/>
      <c r="R145" s="3222"/>
      <c r="S145" s="3222"/>
      <c r="T145" s="3222"/>
      <c r="U145" s="3222"/>
      <c r="V145" s="3222"/>
      <c r="W145" s="3222"/>
      <c r="X145" s="3222"/>
      <c r="Y145" s="3531"/>
    </row>
    <row r="146" spans="1:25" s="3354" customFormat="1" ht="12.75" customHeight="1">
      <c r="A146" s="3221"/>
      <c r="B146" s="3222"/>
      <c r="C146" s="3222"/>
      <c r="D146" s="3222"/>
      <c r="E146" s="3222"/>
      <c r="F146" s="3222"/>
      <c r="G146" s="3222"/>
      <c r="H146" s="3222"/>
      <c r="I146" s="3222"/>
      <c r="J146" s="3222"/>
      <c r="K146" s="3222"/>
      <c r="L146" s="3222"/>
      <c r="M146" s="3222"/>
      <c r="N146" s="3222"/>
      <c r="O146" s="3222"/>
      <c r="P146" s="3222"/>
      <c r="Q146" s="3222"/>
      <c r="R146" s="3222"/>
      <c r="S146" s="3222"/>
      <c r="T146" s="3222"/>
      <c r="U146" s="3222"/>
      <c r="V146" s="3222"/>
      <c r="W146" s="3222"/>
      <c r="X146" s="3222"/>
      <c r="Y146" s="3531"/>
    </row>
    <row r="147" spans="1:25" s="3354" customFormat="1" ht="12.75" customHeight="1">
      <c r="A147" s="3221"/>
      <c r="B147" s="3222"/>
      <c r="C147" s="3222"/>
      <c r="D147" s="3222"/>
      <c r="E147" s="3222"/>
      <c r="F147" s="3222"/>
      <c r="G147" s="3222"/>
      <c r="H147" s="3222"/>
      <c r="I147" s="3222"/>
      <c r="J147" s="3222"/>
      <c r="K147" s="3222"/>
      <c r="L147" s="3222"/>
      <c r="M147" s="3222"/>
      <c r="N147" s="3222"/>
      <c r="O147" s="3222"/>
      <c r="P147" s="3222"/>
      <c r="Q147" s="3222"/>
      <c r="R147" s="3222"/>
      <c r="S147" s="3222"/>
      <c r="T147" s="3222"/>
      <c r="U147" s="3222"/>
      <c r="V147" s="3222"/>
      <c r="W147" s="3222"/>
      <c r="X147" s="3222"/>
      <c r="Y147" s="3531"/>
    </row>
    <row r="148" spans="1:25" s="3354" customFormat="1">
      <c r="A148" s="3221"/>
      <c r="B148" s="3222"/>
      <c r="C148" s="3222"/>
      <c r="D148" s="3222"/>
      <c r="E148" s="3222"/>
      <c r="F148" s="3222"/>
      <c r="G148" s="3222"/>
      <c r="H148" s="3222"/>
      <c r="I148" s="3222"/>
      <c r="J148" s="3222"/>
      <c r="K148" s="3222"/>
      <c r="L148" s="3222"/>
      <c r="M148" s="3222"/>
      <c r="N148" s="3222"/>
      <c r="O148" s="3222"/>
      <c r="P148" s="3222"/>
      <c r="Q148" s="3222"/>
      <c r="R148" s="3222"/>
      <c r="S148" s="3222"/>
      <c r="T148" s="3222"/>
      <c r="U148" s="3222"/>
      <c r="V148" s="3222"/>
      <c r="W148" s="3222"/>
      <c r="X148" s="3222"/>
      <c r="Y148" s="3531"/>
    </row>
    <row r="149" spans="1:25" s="3354" customFormat="1">
      <c r="A149" s="3221"/>
      <c r="B149" s="3222"/>
      <c r="C149" s="3222"/>
      <c r="D149" s="3222"/>
      <c r="E149" s="3222"/>
      <c r="F149" s="3222"/>
      <c r="G149" s="3222"/>
      <c r="H149" s="3222"/>
      <c r="I149" s="3222"/>
      <c r="J149" s="3222"/>
      <c r="K149" s="3222"/>
      <c r="L149" s="3222"/>
      <c r="M149" s="3222"/>
      <c r="N149" s="3222"/>
      <c r="O149" s="3222"/>
      <c r="P149" s="3222"/>
      <c r="Q149" s="3222"/>
      <c r="R149" s="3222"/>
      <c r="S149" s="3222"/>
      <c r="T149" s="3222"/>
      <c r="U149" s="3222"/>
      <c r="V149" s="3222"/>
      <c r="W149" s="3222"/>
      <c r="X149" s="3222"/>
      <c r="Y149" s="3531"/>
    </row>
    <row r="150" spans="1:25" s="3540" customFormat="1" ht="33.75" customHeight="1">
      <c r="A150" s="3221"/>
      <c r="B150" s="3222"/>
      <c r="C150" s="3222"/>
      <c r="D150" s="3222"/>
      <c r="E150" s="3222"/>
      <c r="F150" s="3222"/>
      <c r="G150" s="3222"/>
      <c r="H150" s="3222"/>
      <c r="I150" s="3222"/>
      <c r="J150" s="3222"/>
      <c r="K150" s="3222"/>
      <c r="L150" s="3222"/>
      <c r="M150" s="3222"/>
      <c r="N150" s="3222"/>
      <c r="O150" s="3222"/>
      <c r="P150" s="3222"/>
      <c r="Q150" s="3222"/>
      <c r="R150" s="3222"/>
      <c r="S150" s="3222"/>
      <c r="T150" s="3222"/>
      <c r="U150" s="3222"/>
      <c r="V150" s="3222"/>
      <c r="W150" s="3222"/>
      <c r="X150" s="3222"/>
      <c r="Y150" s="3531"/>
    </row>
    <row r="151" spans="1:25" s="3354" customFormat="1" ht="12.75" customHeight="1">
      <c r="A151" s="3221"/>
      <c r="B151" s="3222"/>
      <c r="C151" s="3222"/>
      <c r="D151" s="3222"/>
      <c r="E151" s="3222"/>
      <c r="F151" s="3222"/>
      <c r="G151" s="3222"/>
      <c r="H151" s="3222"/>
      <c r="I151" s="3222"/>
      <c r="J151" s="3222"/>
      <c r="K151" s="3222"/>
      <c r="L151" s="3222"/>
      <c r="M151" s="3222"/>
      <c r="N151" s="3222"/>
      <c r="O151" s="3222"/>
      <c r="P151" s="3222"/>
      <c r="Q151" s="3222"/>
      <c r="R151" s="3222"/>
      <c r="S151" s="3222"/>
      <c r="T151" s="3222"/>
      <c r="U151" s="3222"/>
      <c r="V151" s="3222"/>
      <c r="W151" s="3222"/>
      <c r="X151" s="3222"/>
      <c r="Y151" s="3531"/>
    </row>
    <row r="152" spans="1:25" s="3354" customFormat="1" ht="12.75" customHeight="1">
      <c r="A152" s="3221"/>
      <c r="B152" s="3222"/>
      <c r="C152" s="3222"/>
      <c r="D152" s="3222"/>
      <c r="E152" s="3222"/>
      <c r="F152" s="3222"/>
      <c r="G152" s="3222"/>
      <c r="H152" s="3222"/>
      <c r="I152" s="3222"/>
      <c r="J152" s="3222"/>
      <c r="K152" s="3222"/>
      <c r="L152" s="3222"/>
      <c r="M152" s="3222"/>
      <c r="N152" s="3222"/>
      <c r="O152" s="3222"/>
      <c r="P152" s="3222"/>
      <c r="Q152" s="3222"/>
      <c r="R152" s="3222"/>
      <c r="S152" s="3222"/>
      <c r="T152" s="3222"/>
      <c r="U152" s="3222"/>
      <c r="V152" s="3222"/>
      <c r="W152" s="3222"/>
      <c r="X152" s="3222"/>
      <c r="Y152" s="3531"/>
    </row>
    <row r="153" spans="1:25" s="3354" customFormat="1" ht="12.75" customHeight="1">
      <c r="A153" s="3221"/>
      <c r="B153" s="3222"/>
      <c r="C153" s="3222"/>
      <c r="D153" s="3222"/>
      <c r="E153" s="3222"/>
      <c r="F153" s="3222"/>
      <c r="G153" s="3222"/>
      <c r="H153" s="3222"/>
      <c r="I153" s="3222"/>
      <c r="J153" s="3222"/>
      <c r="K153" s="3222"/>
      <c r="L153" s="3222"/>
      <c r="M153" s="3222"/>
      <c r="N153" s="3222"/>
      <c r="O153" s="3222"/>
      <c r="P153" s="3222"/>
      <c r="Q153" s="3222"/>
      <c r="R153" s="3222"/>
      <c r="S153" s="3222"/>
      <c r="T153" s="3222"/>
      <c r="U153" s="3222"/>
      <c r="V153" s="3222"/>
      <c r="W153" s="3222"/>
      <c r="X153" s="3222"/>
      <c r="Y153" s="3531"/>
    </row>
    <row r="154" spans="1:25" s="3354" customFormat="1" ht="12.75" customHeight="1">
      <c r="A154" s="3221"/>
      <c r="B154" s="3222"/>
      <c r="C154" s="3222"/>
      <c r="D154" s="3222"/>
      <c r="E154" s="3222"/>
      <c r="F154" s="3222"/>
      <c r="G154" s="3222"/>
      <c r="H154" s="3222"/>
      <c r="I154" s="3222"/>
      <c r="J154" s="3222"/>
      <c r="K154" s="3222"/>
      <c r="L154" s="3222"/>
      <c r="M154" s="3222"/>
      <c r="N154" s="3222"/>
      <c r="O154" s="3222"/>
      <c r="P154" s="3222"/>
      <c r="Q154" s="3222"/>
      <c r="R154" s="3222"/>
      <c r="S154" s="3222"/>
      <c r="T154" s="3222"/>
      <c r="U154" s="3222"/>
      <c r="V154" s="3222"/>
      <c r="W154" s="3222"/>
      <c r="X154" s="3222"/>
      <c r="Y154" s="3531"/>
    </row>
    <row r="155" spans="1:25" s="3354" customFormat="1">
      <c r="A155" s="3221"/>
      <c r="B155" s="3222"/>
      <c r="C155" s="3222"/>
      <c r="D155" s="3222"/>
      <c r="E155" s="3222"/>
      <c r="F155" s="3222"/>
      <c r="G155" s="3222"/>
      <c r="H155" s="3222"/>
      <c r="I155" s="3222"/>
      <c r="J155" s="3222"/>
      <c r="K155" s="3222"/>
      <c r="L155" s="3222"/>
      <c r="M155" s="3222"/>
      <c r="N155" s="3222"/>
      <c r="O155" s="3222"/>
      <c r="P155" s="3222"/>
      <c r="Q155" s="3222"/>
      <c r="R155" s="3222"/>
      <c r="S155" s="3222"/>
      <c r="T155" s="3222"/>
      <c r="U155" s="3222"/>
      <c r="V155" s="3222"/>
      <c r="W155" s="3222"/>
      <c r="X155" s="3222"/>
      <c r="Y155" s="3531"/>
    </row>
    <row r="156" spans="1:25" s="3540" customFormat="1" ht="12" customHeight="1">
      <c r="A156" s="3221"/>
      <c r="B156" s="3222"/>
      <c r="C156" s="3222"/>
      <c r="D156" s="3222"/>
      <c r="E156" s="3222"/>
      <c r="F156" s="3222"/>
      <c r="G156" s="3222"/>
      <c r="H156" s="3222"/>
      <c r="I156" s="3222"/>
      <c r="J156" s="3222"/>
      <c r="K156" s="3222"/>
      <c r="L156" s="3222"/>
      <c r="M156" s="3222"/>
      <c r="N156" s="3222"/>
      <c r="O156" s="3222"/>
      <c r="P156" s="3222"/>
      <c r="Q156" s="3222"/>
      <c r="R156" s="3222"/>
      <c r="S156" s="3222"/>
      <c r="T156" s="3222"/>
      <c r="U156" s="3222"/>
      <c r="V156" s="3222"/>
      <c r="W156" s="3222"/>
      <c r="X156" s="3222"/>
      <c r="Y156" s="3531"/>
    </row>
    <row r="157" spans="1:25" s="3354" customFormat="1" ht="12.75" customHeight="1">
      <c r="A157" s="3221"/>
      <c r="B157" s="3222"/>
      <c r="C157" s="3222"/>
      <c r="D157" s="3222"/>
      <c r="E157" s="3222"/>
      <c r="F157" s="3222"/>
      <c r="G157" s="3222"/>
      <c r="H157" s="3222"/>
      <c r="I157" s="3222"/>
      <c r="J157" s="3222"/>
      <c r="K157" s="3222"/>
      <c r="L157" s="3222"/>
      <c r="M157" s="3222"/>
      <c r="N157" s="3222"/>
      <c r="O157" s="3222"/>
      <c r="P157" s="3222"/>
      <c r="Q157" s="3222"/>
      <c r="R157" s="3222"/>
      <c r="S157" s="3222"/>
      <c r="T157" s="3222"/>
      <c r="U157" s="3222"/>
      <c r="V157" s="3222"/>
      <c r="W157" s="3222"/>
      <c r="X157" s="3222"/>
      <c r="Y157" s="3531"/>
    </row>
    <row r="158" spans="1:25" s="3354" customFormat="1" ht="12.75" customHeight="1">
      <c r="A158" s="3221"/>
      <c r="B158" s="3222"/>
      <c r="C158" s="3222"/>
      <c r="D158" s="3222"/>
      <c r="E158" s="3222"/>
      <c r="F158" s="3222"/>
      <c r="G158" s="3222"/>
      <c r="H158" s="3222"/>
      <c r="I158" s="3222"/>
      <c r="J158" s="3222"/>
      <c r="K158" s="3222"/>
      <c r="L158" s="3222"/>
      <c r="M158" s="3222"/>
      <c r="N158" s="3222"/>
      <c r="O158" s="3222"/>
      <c r="P158" s="3222"/>
      <c r="Q158" s="3222"/>
      <c r="R158" s="3222"/>
      <c r="S158" s="3222"/>
      <c r="T158" s="3222"/>
      <c r="U158" s="3222"/>
      <c r="V158" s="3222"/>
      <c r="W158" s="3222"/>
      <c r="X158" s="3222"/>
      <c r="Y158" s="3531"/>
    </row>
    <row r="159" spans="1:25" s="3354" customFormat="1">
      <c r="A159" s="3221"/>
      <c r="B159" s="3222"/>
      <c r="C159" s="3222"/>
      <c r="D159" s="3222"/>
      <c r="E159" s="3222"/>
      <c r="F159" s="3222"/>
      <c r="G159" s="3222"/>
      <c r="H159" s="3222"/>
      <c r="I159" s="3222"/>
      <c r="J159" s="3222"/>
      <c r="K159" s="3222"/>
      <c r="L159" s="3222"/>
      <c r="M159" s="3222"/>
      <c r="N159" s="3222"/>
      <c r="O159" s="3222"/>
      <c r="P159" s="3222"/>
      <c r="Q159" s="3222"/>
      <c r="R159" s="3222"/>
      <c r="S159" s="3222"/>
      <c r="T159" s="3222"/>
      <c r="U159" s="3222"/>
      <c r="V159" s="3222"/>
      <c r="W159" s="3222"/>
      <c r="X159" s="3222"/>
      <c r="Y159" s="3531"/>
    </row>
    <row r="160" spans="1:25" s="3354" customFormat="1">
      <c r="A160" s="3221"/>
      <c r="B160" s="3222"/>
      <c r="C160" s="3222"/>
      <c r="D160" s="3222"/>
      <c r="E160" s="3222"/>
      <c r="F160" s="3222"/>
      <c r="G160" s="3222"/>
      <c r="H160" s="3222"/>
      <c r="I160" s="3222"/>
      <c r="J160" s="3222"/>
      <c r="K160" s="3222"/>
      <c r="L160" s="3222"/>
      <c r="M160" s="3222"/>
      <c r="N160" s="3222"/>
      <c r="O160" s="3222"/>
      <c r="P160" s="3222"/>
      <c r="Q160" s="3222"/>
      <c r="R160" s="3222"/>
      <c r="S160" s="3222"/>
      <c r="T160" s="3222"/>
      <c r="U160" s="3222"/>
      <c r="V160" s="3222"/>
      <c r="W160" s="3222"/>
      <c r="X160" s="3222"/>
      <c r="Y160" s="3531"/>
    </row>
    <row r="161" spans="1:25" s="3540" customFormat="1" ht="22.5" customHeight="1">
      <c r="A161" s="3221"/>
      <c r="B161" s="3222"/>
      <c r="C161" s="3222"/>
      <c r="D161" s="3222"/>
      <c r="E161" s="3222"/>
      <c r="F161" s="3222"/>
      <c r="G161" s="3222"/>
      <c r="H161" s="3222"/>
      <c r="I161" s="3222"/>
      <c r="J161" s="3222"/>
      <c r="K161" s="3222"/>
      <c r="L161" s="3222"/>
      <c r="M161" s="3222"/>
      <c r="N161" s="3222"/>
      <c r="O161" s="3222"/>
      <c r="P161" s="3222"/>
      <c r="Q161" s="3222"/>
      <c r="R161" s="3222"/>
      <c r="S161" s="3222"/>
      <c r="T161" s="3222"/>
      <c r="U161" s="3222"/>
      <c r="V161" s="3222"/>
      <c r="W161" s="3222"/>
      <c r="X161" s="3222"/>
      <c r="Y161" s="3531"/>
    </row>
    <row r="162" spans="1:25" s="3354" customFormat="1" ht="12.75" customHeight="1">
      <c r="A162" s="3221"/>
      <c r="B162" s="3222"/>
      <c r="C162" s="3222"/>
      <c r="D162" s="3222"/>
      <c r="E162" s="3222"/>
      <c r="F162" s="3222"/>
      <c r="G162" s="3222"/>
      <c r="H162" s="3222"/>
      <c r="I162" s="3222"/>
      <c r="J162" s="3222"/>
      <c r="K162" s="3222"/>
      <c r="L162" s="3222"/>
      <c r="M162" s="3222"/>
      <c r="N162" s="3222"/>
      <c r="O162" s="3222"/>
      <c r="P162" s="3222"/>
      <c r="Q162" s="3222"/>
      <c r="R162" s="3222"/>
      <c r="S162" s="3222"/>
      <c r="T162" s="3222"/>
      <c r="U162" s="3222"/>
      <c r="V162" s="3222"/>
      <c r="W162" s="3222"/>
      <c r="X162" s="3222"/>
      <c r="Y162" s="3531"/>
    </row>
    <row r="163" spans="1:25" s="3354" customFormat="1" ht="12.75" customHeight="1">
      <c r="A163" s="3221"/>
      <c r="B163" s="3222"/>
      <c r="C163" s="3222"/>
      <c r="D163" s="3222"/>
      <c r="E163" s="3222"/>
      <c r="F163" s="3222"/>
      <c r="G163" s="3222"/>
      <c r="H163" s="3222"/>
      <c r="I163" s="3222"/>
      <c r="J163" s="3222"/>
      <c r="K163" s="3222"/>
      <c r="L163" s="3222"/>
      <c r="M163" s="3222"/>
      <c r="N163" s="3222"/>
      <c r="O163" s="3222"/>
      <c r="P163" s="3222"/>
      <c r="Q163" s="3222"/>
      <c r="R163" s="3222"/>
      <c r="S163" s="3222"/>
      <c r="T163" s="3222"/>
      <c r="U163" s="3222"/>
      <c r="V163" s="3222"/>
      <c r="W163" s="3222"/>
      <c r="X163" s="3222"/>
      <c r="Y163" s="3531"/>
    </row>
    <row r="164" spans="1:25" s="3354" customFormat="1">
      <c r="A164" s="3221"/>
      <c r="B164" s="3222"/>
      <c r="C164" s="3222"/>
      <c r="D164" s="3222"/>
      <c r="E164" s="3222"/>
      <c r="F164" s="3222"/>
      <c r="G164" s="3222"/>
      <c r="H164" s="3222"/>
      <c r="I164" s="3222"/>
      <c r="J164" s="3222"/>
      <c r="K164" s="3222"/>
      <c r="L164" s="3222"/>
      <c r="M164" s="3222"/>
      <c r="N164" s="3222"/>
      <c r="O164" s="3222"/>
      <c r="P164" s="3222"/>
      <c r="Q164" s="3222"/>
      <c r="R164" s="3222"/>
      <c r="S164" s="3222"/>
      <c r="T164" s="3222"/>
      <c r="U164" s="3222"/>
      <c r="V164" s="3222"/>
      <c r="W164" s="3222"/>
      <c r="X164" s="3222"/>
      <c r="Y164" s="3531"/>
    </row>
    <row r="165" spans="1:25" s="3354" customFormat="1">
      <c r="A165" s="3221"/>
      <c r="B165" s="3222"/>
      <c r="C165" s="3222"/>
      <c r="D165" s="3222"/>
      <c r="E165" s="3222"/>
      <c r="F165" s="3222"/>
      <c r="G165" s="3222"/>
      <c r="H165" s="3222"/>
      <c r="I165" s="3222"/>
      <c r="J165" s="3222"/>
      <c r="K165" s="3222"/>
      <c r="L165" s="3222"/>
      <c r="M165" s="3222"/>
      <c r="N165" s="3222"/>
      <c r="O165" s="3222"/>
      <c r="P165" s="3222"/>
      <c r="Q165" s="3222"/>
      <c r="R165" s="3222"/>
      <c r="S165" s="3222"/>
      <c r="T165" s="3222"/>
      <c r="U165" s="3222"/>
      <c r="V165" s="3222"/>
      <c r="W165" s="3222"/>
      <c r="X165" s="3222"/>
      <c r="Y165" s="3531"/>
    </row>
    <row r="166" spans="1:25" s="3540" customFormat="1" ht="15" customHeight="1">
      <c r="A166" s="3221"/>
      <c r="B166" s="3222"/>
      <c r="C166" s="3222"/>
      <c r="D166" s="3222"/>
      <c r="E166" s="3222"/>
      <c r="F166" s="3222"/>
      <c r="G166" s="3222"/>
      <c r="H166" s="3222"/>
      <c r="I166" s="3222"/>
      <c r="J166" s="3222"/>
      <c r="K166" s="3222"/>
      <c r="L166" s="3222"/>
      <c r="M166" s="3222"/>
      <c r="N166" s="3222"/>
      <c r="O166" s="3222"/>
      <c r="P166" s="3222"/>
      <c r="Q166" s="3222"/>
      <c r="R166" s="3222"/>
      <c r="S166" s="3222"/>
      <c r="T166" s="3222"/>
      <c r="U166" s="3222"/>
      <c r="V166" s="3222"/>
      <c r="W166" s="3222"/>
      <c r="X166" s="3222"/>
      <c r="Y166" s="3531"/>
    </row>
    <row r="167" spans="1:25" s="3354" customFormat="1" ht="12.75" customHeight="1">
      <c r="A167" s="3221"/>
      <c r="B167" s="3222"/>
      <c r="C167" s="3222"/>
      <c r="D167" s="3222"/>
      <c r="E167" s="3222"/>
      <c r="F167" s="3222"/>
      <c r="G167" s="3222"/>
      <c r="H167" s="3222"/>
      <c r="I167" s="3222"/>
      <c r="J167" s="3222"/>
      <c r="K167" s="3222"/>
      <c r="L167" s="3222"/>
      <c r="M167" s="3222"/>
      <c r="N167" s="3222"/>
      <c r="O167" s="3222"/>
      <c r="P167" s="3222"/>
      <c r="Q167" s="3222"/>
      <c r="R167" s="3222"/>
      <c r="S167" s="3222"/>
      <c r="T167" s="3222"/>
      <c r="U167" s="3222"/>
      <c r="V167" s="3222"/>
      <c r="W167" s="3222"/>
      <c r="X167" s="3222"/>
      <c r="Y167" s="3531"/>
    </row>
    <row r="168" spans="1:25" s="3354" customFormat="1" ht="12.75" customHeight="1">
      <c r="A168" s="3221"/>
      <c r="B168" s="3222"/>
      <c r="C168" s="3222"/>
      <c r="D168" s="3222"/>
      <c r="E168" s="3222"/>
      <c r="F168" s="3222"/>
      <c r="G168" s="3222"/>
      <c r="H168" s="3222"/>
      <c r="I168" s="3222"/>
      <c r="J168" s="3222"/>
      <c r="K168" s="3222"/>
      <c r="L168" s="3222"/>
      <c r="M168" s="3222"/>
      <c r="N168" s="3222"/>
      <c r="O168" s="3222"/>
      <c r="P168" s="3222"/>
      <c r="Q168" s="3222"/>
      <c r="R168" s="3222"/>
      <c r="S168" s="3222"/>
      <c r="T168" s="3222"/>
      <c r="U168" s="3222"/>
      <c r="V168" s="3222"/>
      <c r="W168" s="3222"/>
      <c r="X168" s="3222"/>
      <c r="Y168" s="3531"/>
    </row>
    <row r="169" spans="1:25" s="3354" customFormat="1">
      <c r="A169" s="3221"/>
      <c r="B169" s="3222"/>
      <c r="C169" s="3222"/>
      <c r="D169" s="3222"/>
      <c r="E169" s="3222"/>
      <c r="F169" s="3222"/>
      <c r="G169" s="3222"/>
      <c r="H169" s="3222"/>
      <c r="I169" s="3222"/>
      <c r="J169" s="3222"/>
      <c r="K169" s="3222"/>
      <c r="L169" s="3222"/>
      <c r="M169" s="3222"/>
      <c r="N169" s="3222"/>
      <c r="O169" s="3222"/>
      <c r="P169" s="3222"/>
      <c r="Q169" s="3222"/>
      <c r="R169" s="3222"/>
      <c r="S169" s="3222"/>
      <c r="T169" s="3222"/>
      <c r="U169" s="3222"/>
      <c r="V169" s="3222"/>
      <c r="W169" s="3222"/>
      <c r="X169" s="3222"/>
      <c r="Y169" s="3531"/>
    </row>
    <row r="170" spans="1:25" s="3354" customFormat="1">
      <c r="A170" s="3221"/>
      <c r="B170" s="3222"/>
      <c r="C170" s="3222"/>
      <c r="D170" s="3222"/>
      <c r="E170" s="3222"/>
      <c r="F170" s="3222"/>
      <c r="G170" s="3222"/>
      <c r="H170" s="3222"/>
      <c r="I170" s="3222"/>
      <c r="J170" s="3222"/>
      <c r="K170" s="3222"/>
      <c r="L170" s="3222"/>
      <c r="M170" s="3222"/>
      <c r="N170" s="3222"/>
      <c r="O170" s="3222"/>
      <c r="P170" s="3222"/>
      <c r="Q170" s="3222"/>
      <c r="R170" s="3222"/>
      <c r="S170" s="3222"/>
      <c r="T170" s="3222"/>
      <c r="U170" s="3222"/>
      <c r="V170" s="3222"/>
      <c r="W170" s="3222"/>
      <c r="X170" s="3222"/>
      <c r="Y170" s="3531"/>
    </row>
    <row r="171" spans="1:25" s="3540" customFormat="1" ht="13.5" customHeight="1">
      <c r="A171" s="3221"/>
      <c r="B171" s="3222"/>
      <c r="C171" s="3222"/>
      <c r="D171" s="3222"/>
      <c r="E171" s="3222"/>
      <c r="F171" s="3222"/>
      <c r="G171" s="3222"/>
      <c r="H171" s="3222"/>
      <c r="I171" s="3222"/>
      <c r="J171" s="3222"/>
      <c r="K171" s="3222"/>
      <c r="L171" s="3222"/>
      <c r="M171" s="3222"/>
      <c r="N171" s="3222"/>
      <c r="O171" s="3222"/>
      <c r="P171" s="3222"/>
      <c r="Q171" s="3222"/>
      <c r="R171" s="3222"/>
      <c r="S171" s="3222"/>
      <c r="T171" s="3222"/>
      <c r="U171" s="3222"/>
      <c r="V171" s="3222"/>
      <c r="W171" s="3222"/>
      <c r="X171" s="3222"/>
      <c r="Y171" s="3531"/>
    </row>
    <row r="172" spans="1:25" s="3354" customFormat="1" ht="12.75" customHeight="1">
      <c r="A172" s="3221"/>
      <c r="B172" s="3222"/>
      <c r="C172" s="3222"/>
      <c r="D172" s="3222"/>
      <c r="E172" s="3222"/>
      <c r="F172" s="3222"/>
      <c r="G172" s="3222"/>
      <c r="H172" s="3222"/>
      <c r="I172" s="3222"/>
      <c r="J172" s="3222"/>
      <c r="K172" s="3222"/>
      <c r="L172" s="3222"/>
      <c r="M172" s="3222"/>
      <c r="N172" s="3222"/>
      <c r="O172" s="3222"/>
      <c r="P172" s="3222"/>
      <c r="Q172" s="3222"/>
      <c r="R172" s="3222"/>
      <c r="S172" s="3222"/>
      <c r="T172" s="3222"/>
      <c r="U172" s="3222"/>
      <c r="V172" s="3222"/>
      <c r="W172" s="3222"/>
      <c r="X172" s="3222"/>
      <c r="Y172" s="3531"/>
    </row>
    <row r="173" spans="1:25" s="3354" customFormat="1" ht="12.75" customHeight="1">
      <c r="A173" s="3221"/>
      <c r="B173" s="3222"/>
      <c r="C173" s="3222"/>
      <c r="D173" s="3222"/>
      <c r="E173" s="3222"/>
      <c r="F173" s="3222"/>
      <c r="G173" s="3222"/>
      <c r="H173" s="3222"/>
      <c r="I173" s="3222"/>
      <c r="J173" s="3222"/>
      <c r="K173" s="3222"/>
      <c r="L173" s="3222"/>
      <c r="M173" s="3222"/>
      <c r="N173" s="3222"/>
      <c r="O173" s="3222"/>
      <c r="P173" s="3222"/>
      <c r="Q173" s="3222"/>
      <c r="R173" s="3222"/>
      <c r="S173" s="3222"/>
      <c r="T173" s="3222"/>
      <c r="U173" s="3222"/>
      <c r="V173" s="3222"/>
      <c r="W173" s="3222"/>
      <c r="X173" s="3222"/>
      <c r="Y173" s="3531"/>
    </row>
    <row r="174" spans="1:25" s="3354" customFormat="1">
      <c r="A174" s="3221"/>
      <c r="B174" s="3222"/>
      <c r="C174" s="3222"/>
      <c r="D174" s="3222"/>
      <c r="E174" s="3222"/>
      <c r="F174" s="3222"/>
      <c r="G174" s="3222"/>
      <c r="H174" s="3222"/>
      <c r="I174" s="3222"/>
      <c r="J174" s="3222"/>
      <c r="K174" s="3222"/>
      <c r="L174" s="3222"/>
      <c r="M174" s="3222"/>
      <c r="N174" s="3222"/>
      <c r="O174" s="3222"/>
      <c r="P174" s="3222"/>
      <c r="Q174" s="3222"/>
      <c r="R174" s="3222"/>
      <c r="S174" s="3222"/>
      <c r="T174" s="3222"/>
      <c r="U174" s="3222"/>
      <c r="V174" s="3222"/>
      <c r="W174" s="3222"/>
      <c r="X174" s="3222"/>
      <c r="Y174" s="3531"/>
    </row>
    <row r="175" spans="1:25" s="3354" customFormat="1">
      <c r="A175" s="3221"/>
      <c r="B175" s="3222"/>
      <c r="C175" s="3222"/>
      <c r="D175" s="3222"/>
      <c r="E175" s="3222"/>
      <c r="F175" s="3222"/>
      <c r="G175" s="3222"/>
      <c r="H175" s="3222"/>
      <c r="I175" s="3222"/>
      <c r="J175" s="3222"/>
      <c r="K175" s="3222"/>
      <c r="L175" s="3222"/>
      <c r="M175" s="3222"/>
      <c r="N175" s="3222"/>
      <c r="O175" s="3222"/>
      <c r="P175" s="3222"/>
      <c r="Q175" s="3222"/>
      <c r="R175" s="3222"/>
      <c r="S175" s="3222"/>
      <c r="T175" s="3222"/>
      <c r="U175" s="3222"/>
      <c r="V175" s="3222"/>
      <c r="W175" s="3222"/>
      <c r="X175" s="3222"/>
      <c r="Y175" s="3531"/>
    </row>
    <row r="176" spans="1:25" s="3354" customFormat="1">
      <c r="A176" s="3221"/>
      <c r="B176" s="3222"/>
      <c r="C176" s="3222"/>
      <c r="D176" s="3222"/>
      <c r="E176" s="3222"/>
      <c r="F176" s="3222"/>
      <c r="G176" s="3222"/>
      <c r="H176" s="3222"/>
      <c r="I176" s="3222"/>
      <c r="J176" s="3222"/>
      <c r="K176" s="3222"/>
      <c r="L176" s="3222"/>
      <c r="M176" s="3222"/>
      <c r="N176" s="3222"/>
      <c r="O176" s="3222"/>
      <c r="P176" s="3222"/>
      <c r="Q176" s="3222"/>
      <c r="R176" s="3222"/>
      <c r="S176" s="3222"/>
      <c r="T176" s="3222"/>
      <c r="U176" s="3222"/>
      <c r="V176" s="3222"/>
      <c r="W176" s="3222"/>
      <c r="X176" s="3222"/>
      <c r="Y176" s="3531"/>
    </row>
    <row r="177" spans="1:25" s="3540" customFormat="1" ht="22.5" customHeight="1">
      <c r="A177" s="3221"/>
      <c r="B177" s="3222"/>
      <c r="C177" s="3222"/>
      <c r="D177" s="3222"/>
      <c r="E177" s="3222"/>
      <c r="F177" s="3222"/>
      <c r="G177" s="3222"/>
      <c r="H177" s="3222"/>
      <c r="I177" s="3222"/>
      <c r="J177" s="3222"/>
      <c r="K177" s="3222"/>
      <c r="L177" s="3222"/>
      <c r="M177" s="3222"/>
      <c r="N177" s="3222"/>
      <c r="O177" s="3222"/>
      <c r="P177" s="3222"/>
      <c r="Q177" s="3222"/>
      <c r="R177" s="3222"/>
      <c r="S177" s="3222"/>
      <c r="T177" s="3222"/>
      <c r="U177" s="3222"/>
      <c r="V177" s="3222"/>
      <c r="W177" s="3222"/>
      <c r="X177" s="3222"/>
      <c r="Y177" s="3531"/>
    </row>
    <row r="178" spans="1:25" s="3354" customFormat="1" ht="12.75" customHeight="1">
      <c r="A178" s="3221"/>
      <c r="B178" s="3222"/>
      <c r="C178" s="3222"/>
      <c r="D178" s="3222"/>
      <c r="E178" s="3222"/>
      <c r="F178" s="3222"/>
      <c r="G178" s="3222"/>
      <c r="H178" s="3222"/>
      <c r="I178" s="3222"/>
      <c r="J178" s="3222"/>
      <c r="K178" s="3222"/>
      <c r="L178" s="3222"/>
      <c r="M178" s="3222"/>
      <c r="N178" s="3222"/>
      <c r="O178" s="3222"/>
      <c r="P178" s="3222"/>
      <c r="Q178" s="3222"/>
      <c r="R178" s="3222"/>
      <c r="S178" s="3222"/>
      <c r="T178" s="3222"/>
      <c r="U178" s="3222"/>
      <c r="V178" s="3222"/>
      <c r="W178" s="3222"/>
      <c r="X178" s="3222"/>
      <c r="Y178" s="3531"/>
    </row>
    <row r="179" spans="1:25" s="3354" customFormat="1" ht="12.75" customHeight="1">
      <c r="A179" s="3221"/>
      <c r="B179" s="3222"/>
      <c r="C179" s="3222"/>
      <c r="D179" s="3222"/>
      <c r="E179" s="3222"/>
      <c r="F179" s="3222"/>
      <c r="G179" s="3222"/>
      <c r="H179" s="3222"/>
      <c r="I179" s="3222"/>
      <c r="J179" s="3222"/>
      <c r="K179" s="3222"/>
      <c r="L179" s="3222"/>
      <c r="M179" s="3222"/>
      <c r="N179" s="3222"/>
      <c r="O179" s="3222"/>
      <c r="P179" s="3222"/>
      <c r="Q179" s="3222"/>
      <c r="R179" s="3222"/>
      <c r="S179" s="3222"/>
      <c r="T179" s="3222"/>
      <c r="U179" s="3222"/>
      <c r="V179" s="3222"/>
      <c r="W179" s="3222"/>
      <c r="X179" s="3222"/>
      <c r="Y179" s="3531"/>
    </row>
    <row r="180" spans="1:25" s="3354" customFormat="1">
      <c r="A180" s="3221"/>
      <c r="B180" s="3222"/>
      <c r="C180" s="3222"/>
      <c r="D180" s="3222"/>
      <c r="E180" s="3222"/>
      <c r="F180" s="3222"/>
      <c r="G180" s="3222"/>
      <c r="H180" s="3222"/>
      <c r="I180" s="3222"/>
      <c r="J180" s="3222"/>
      <c r="K180" s="3222"/>
      <c r="L180" s="3222"/>
      <c r="M180" s="3222"/>
      <c r="N180" s="3222"/>
      <c r="O180" s="3222"/>
      <c r="P180" s="3222"/>
      <c r="Q180" s="3222"/>
      <c r="R180" s="3222"/>
      <c r="S180" s="3222"/>
      <c r="T180" s="3222"/>
      <c r="U180" s="3222"/>
      <c r="V180" s="3222"/>
      <c r="W180" s="3222"/>
      <c r="X180" s="3222"/>
      <c r="Y180" s="3531"/>
    </row>
    <row r="181" spans="1:25" s="3354" customFormat="1">
      <c r="A181" s="3221"/>
      <c r="B181" s="3222"/>
      <c r="C181" s="3222"/>
      <c r="D181" s="3222"/>
      <c r="E181" s="3222"/>
      <c r="F181" s="3222"/>
      <c r="G181" s="3222"/>
      <c r="H181" s="3222"/>
      <c r="I181" s="3222"/>
      <c r="J181" s="3222"/>
      <c r="K181" s="3222"/>
      <c r="L181" s="3222"/>
      <c r="M181" s="3222"/>
      <c r="N181" s="3222"/>
      <c r="O181" s="3222"/>
      <c r="P181" s="3222"/>
      <c r="Q181" s="3222"/>
      <c r="R181" s="3222"/>
      <c r="S181" s="3222"/>
      <c r="T181" s="3222"/>
      <c r="U181" s="3222"/>
      <c r="V181" s="3222"/>
      <c r="W181" s="3222"/>
      <c r="X181" s="3222"/>
      <c r="Y181" s="3531"/>
    </row>
    <row r="182" spans="1:25" s="3540" customFormat="1" ht="12.75" customHeight="1">
      <c r="A182" s="3221"/>
      <c r="B182" s="3222"/>
      <c r="C182" s="3222"/>
      <c r="D182" s="3222"/>
      <c r="E182" s="3222"/>
      <c r="F182" s="3222"/>
      <c r="G182" s="3222"/>
      <c r="H182" s="3222"/>
      <c r="I182" s="3222"/>
      <c r="J182" s="3222"/>
      <c r="K182" s="3222"/>
      <c r="L182" s="3222"/>
      <c r="M182" s="3222"/>
      <c r="N182" s="3222"/>
      <c r="O182" s="3222"/>
      <c r="P182" s="3222"/>
      <c r="Q182" s="3222"/>
      <c r="R182" s="3222"/>
      <c r="S182" s="3222"/>
      <c r="T182" s="3222"/>
      <c r="U182" s="3222"/>
      <c r="V182" s="3222"/>
      <c r="W182" s="3222"/>
      <c r="X182" s="3222"/>
      <c r="Y182" s="3531"/>
    </row>
    <row r="183" spans="1:25" s="3354" customFormat="1" ht="9.75" customHeight="1">
      <c r="A183" s="3221"/>
      <c r="B183" s="3222"/>
      <c r="C183" s="3222"/>
      <c r="D183" s="3222"/>
      <c r="E183" s="3222"/>
      <c r="F183" s="3222"/>
      <c r="G183" s="3222"/>
      <c r="H183" s="3222"/>
      <c r="I183" s="3222"/>
      <c r="J183" s="3222"/>
      <c r="K183" s="3222"/>
      <c r="L183" s="3222"/>
      <c r="M183" s="3222"/>
      <c r="N183" s="3222"/>
      <c r="O183" s="3222"/>
      <c r="P183" s="3222"/>
      <c r="Q183" s="3222"/>
      <c r="R183" s="3222"/>
      <c r="S183" s="3222"/>
      <c r="T183" s="3222"/>
      <c r="U183" s="3222"/>
      <c r="V183" s="3222"/>
      <c r="W183" s="3222"/>
      <c r="X183" s="3222"/>
      <c r="Y183" s="3531"/>
    </row>
    <row r="184" spans="1:25" s="3354" customFormat="1" ht="12.75" customHeight="1">
      <c r="A184" s="3221"/>
      <c r="B184" s="3222"/>
      <c r="C184" s="3222"/>
      <c r="D184" s="3222"/>
      <c r="E184" s="3222"/>
      <c r="F184" s="3222"/>
      <c r="G184" s="3222"/>
      <c r="H184" s="3222"/>
      <c r="I184" s="3222"/>
      <c r="J184" s="3222"/>
      <c r="K184" s="3222"/>
      <c r="L184" s="3222"/>
      <c r="M184" s="3222"/>
      <c r="N184" s="3222"/>
      <c r="O184" s="3222"/>
      <c r="P184" s="3222"/>
      <c r="Q184" s="3222"/>
      <c r="R184" s="3222"/>
      <c r="S184" s="3222"/>
      <c r="T184" s="3222"/>
      <c r="U184" s="3222"/>
      <c r="V184" s="3222"/>
      <c r="W184" s="3222"/>
      <c r="X184" s="3222"/>
      <c r="Y184" s="3531"/>
    </row>
    <row r="185" spans="1:25" s="3354" customFormat="1">
      <c r="A185" s="3221"/>
      <c r="B185" s="3222"/>
      <c r="C185" s="3222"/>
      <c r="D185" s="3222"/>
      <c r="E185" s="3222"/>
      <c r="F185" s="3222"/>
      <c r="G185" s="3222"/>
      <c r="H185" s="3222"/>
      <c r="I185" s="3222"/>
      <c r="J185" s="3222"/>
      <c r="K185" s="3222"/>
      <c r="L185" s="3222"/>
      <c r="M185" s="3222"/>
      <c r="N185" s="3222"/>
      <c r="O185" s="3222"/>
      <c r="P185" s="3222"/>
      <c r="Q185" s="3222"/>
      <c r="R185" s="3222"/>
      <c r="S185" s="3222"/>
      <c r="T185" s="3222"/>
      <c r="U185" s="3222"/>
      <c r="V185" s="3222"/>
      <c r="W185" s="3222"/>
      <c r="X185" s="3222"/>
      <c r="Y185" s="3531"/>
    </row>
    <row r="186" spans="1:25" s="3354" customFormat="1">
      <c r="A186" s="3221"/>
      <c r="B186" s="3222"/>
      <c r="C186" s="3222"/>
      <c r="D186" s="3222"/>
      <c r="E186" s="3222"/>
      <c r="F186" s="3222"/>
      <c r="G186" s="3222"/>
      <c r="H186" s="3222"/>
      <c r="I186" s="3222"/>
      <c r="J186" s="3222"/>
      <c r="K186" s="3222"/>
      <c r="L186" s="3222"/>
      <c r="M186" s="3222"/>
      <c r="N186" s="3222"/>
      <c r="O186" s="3222"/>
      <c r="P186" s="3222"/>
      <c r="Q186" s="3222"/>
      <c r="R186" s="3222"/>
      <c r="S186" s="3222"/>
      <c r="T186" s="3222"/>
      <c r="U186" s="3222"/>
      <c r="V186" s="3222"/>
      <c r="W186" s="3222"/>
      <c r="X186" s="3222"/>
      <c r="Y186" s="3531"/>
    </row>
    <row r="187" spans="1:25" s="3540" customFormat="1" ht="13.5" customHeight="1">
      <c r="A187" s="3221"/>
      <c r="B187" s="3222"/>
      <c r="C187" s="3222"/>
      <c r="D187" s="3222"/>
      <c r="E187" s="3222"/>
      <c r="F187" s="3222"/>
      <c r="G187" s="3222"/>
      <c r="H187" s="3222"/>
      <c r="I187" s="3222"/>
      <c r="J187" s="3222"/>
      <c r="K187" s="3222"/>
      <c r="L187" s="3222"/>
      <c r="M187" s="3222"/>
      <c r="N187" s="3222"/>
      <c r="O187" s="3222"/>
      <c r="P187" s="3222"/>
      <c r="Q187" s="3222"/>
      <c r="R187" s="3222"/>
      <c r="S187" s="3222"/>
      <c r="T187" s="3222"/>
      <c r="U187" s="3222"/>
      <c r="V187" s="3222"/>
      <c r="W187" s="3222"/>
      <c r="X187" s="3222"/>
      <c r="Y187" s="3531"/>
    </row>
    <row r="188" spans="1:25" s="3354" customFormat="1" ht="9.75" customHeight="1">
      <c r="A188" s="3221"/>
      <c r="B188" s="3222"/>
      <c r="C188" s="3222"/>
      <c r="D188" s="3222"/>
      <c r="E188" s="3222"/>
      <c r="F188" s="3222"/>
      <c r="G188" s="3222"/>
      <c r="H188" s="3222"/>
      <c r="I188" s="3222"/>
      <c r="J188" s="3222"/>
      <c r="K188" s="3222"/>
      <c r="L188" s="3222"/>
      <c r="M188" s="3222"/>
      <c r="N188" s="3222"/>
      <c r="O188" s="3222"/>
      <c r="P188" s="3222"/>
      <c r="Q188" s="3222"/>
      <c r="R188" s="3222"/>
      <c r="S188" s="3222"/>
      <c r="T188" s="3222"/>
      <c r="U188" s="3222"/>
      <c r="V188" s="3222"/>
      <c r="W188" s="3222"/>
      <c r="X188" s="3222"/>
      <c r="Y188" s="3531"/>
    </row>
    <row r="189" spans="1:25" s="3354" customFormat="1" ht="12.75" customHeight="1">
      <c r="A189" s="3221"/>
      <c r="B189" s="3222"/>
      <c r="C189" s="3222"/>
      <c r="D189" s="3222"/>
      <c r="E189" s="3222"/>
      <c r="F189" s="3222"/>
      <c r="G189" s="3222"/>
      <c r="H189" s="3222"/>
      <c r="I189" s="3222"/>
      <c r="J189" s="3222"/>
      <c r="K189" s="3222"/>
      <c r="L189" s="3222"/>
      <c r="M189" s="3222"/>
      <c r="N189" s="3222"/>
      <c r="O189" s="3222"/>
      <c r="P189" s="3222"/>
      <c r="Q189" s="3222"/>
      <c r="R189" s="3222"/>
      <c r="S189" s="3222"/>
      <c r="T189" s="3222"/>
      <c r="U189" s="3222"/>
      <c r="V189" s="3222"/>
      <c r="W189" s="3222"/>
      <c r="X189" s="3222"/>
      <c r="Y189" s="3531"/>
    </row>
    <row r="190" spans="1:25" s="3354" customFormat="1">
      <c r="A190" s="3221"/>
      <c r="B190" s="3222"/>
      <c r="C190" s="3222"/>
      <c r="D190" s="3222"/>
      <c r="E190" s="3222"/>
      <c r="F190" s="3222"/>
      <c r="G190" s="3222"/>
      <c r="H190" s="3222"/>
      <c r="I190" s="3222"/>
      <c r="J190" s="3222"/>
      <c r="K190" s="3222"/>
      <c r="L190" s="3222"/>
      <c r="M190" s="3222"/>
      <c r="N190" s="3222"/>
      <c r="O190" s="3222"/>
      <c r="P190" s="3222"/>
      <c r="Q190" s="3222"/>
      <c r="R190" s="3222"/>
      <c r="S190" s="3222"/>
      <c r="T190" s="3222"/>
      <c r="U190" s="3222"/>
      <c r="V190" s="3222"/>
      <c r="W190" s="3222"/>
      <c r="X190" s="3222"/>
      <c r="Y190" s="3531"/>
    </row>
    <row r="191" spans="1:25" s="3354" customFormat="1">
      <c r="A191" s="3221"/>
      <c r="B191" s="3222"/>
      <c r="C191" s="3222"/>
      <c r="D191" s="3222"/>
      <c r="E191" s="3222"/>
      <c r="F191" s="3222"/>
      <c r="G191" s="3222"/>
      <c r="H191" s="3222"/>
      <c r="I191" s="3222"/>
      <c r="J191" s="3222"/>
      <c r="K191" s="3222"/>
      <c r="L191" s="3222"/>
      <c r="M191" s="3222"/>
      <c r="N191" s="3222"/>
      <c r="O191" s="3222"/>
      <c r="P191" s="3222"/>
      <c r="Q191" s="3222"/>
      <c r="R191" s="3222"/>
      <c r="S191" s="3222"/>
      <c r="T191" s="3222"/>
      <c r="U191" s="3222"/>
      <c r="V191" s="3222"/>
      <c r="W191" s="3222"/>
      <c r="X191" s="3222"/>
      <c r="Y191" s="3531"/>
    </row>
    <row r="192" spans="1:25" s="3354" customFormat="1">
      <c r="A192" s="3221"/>
      <c r="B192" s="3222"/>
      <c r="C192" s="3222"/>
      <c r="D192" s="3222"/>
      <c r="E192" s="3222"/>
      <c r="F192" s="3222"/>
      <c r="G192" s="3222"/>
      <c r="H192" s="3222"/>
      <c r="I192" s="3222"/>
      <c r="J192" s="3222"/>
      <c r="K192" s="3222"/>
      <c r="L192" s="3222"/>
      <c r="M192" s="3222"/>
      <c r="N192" s="3222"/>
      <c r="O192" s="3222"/>
      <c r="P192" s="3222"/>
      <c r="Q192" s="3222"/>
      <c r="R192" s="3222"/>
      <c r="S192" s="3222"/>
      <c r="T192" s="3222"/>
      <c r="U192" s="3222"/>
      <c r="V192" s="3222"/>
      <c r="W192" s="3222"/>
      <c r="X192" s="3222"/>
      <c r="Y192" s="3531"/>
    </row>
    <row r="193" spans="1:25" s="3354" customFormat="1">
      <c r="A193" s="3221"/>
      <c r="B193" s="3222"/>
      <c r="C193" s="3222"/>
      <c r="D193" s="3222"/>
      <c r="E193" s="3222"/>
      <c r="F193" s="3222"/>
      <c r="G193" s="3222"/>
      <c r="H193" s="3222"/>
      <c r="I193" s="3222"/>
      <c r="J193" s="3222"/>
      <c r="K193" s="3222"/>
      <c r="L193" s="3222"/>
      <c r="M193" s="3222"/>
      <c r="N193" s="3222"/>
      <c r="O193" s="3222"/>
      <c r="P193" s="3222"/>
      <c r="Q193" s="3222"/>
      <c r="R193" s="3222"/>
      <c r="S193" s="3222"/>
      <c r="T193" s="3222"/>
      <c r="U193" s="3222"/>
      <c r="V193" s="3222"/>
      <c r="W193" s="3222"/>
      <c r="X193" s="3222"/>
      <c r="Y193" s="3531"/>
    </row>
    <row r="194" spans="1:25" s="3354" customFormat="1">
      <c r="A194" s="3221"/>
      <c r="B194" s="3222"/>
      <c r="C194" s="3222"/>
      <c r="D194" s="3222"/>
      <c r="E194" s="3222"/>
      <c r="F194" s="3222"/>
      <c r="G194" s="3222"/>
      <c r="H194" s="3222"/>
      <c r="I194" s="3222"/>
      <c r="J194" s="3222"/>
      <c r="K194" s="3222"/>
      <c r="L194" s="3222"/>
      <c r="M194" s="3222"/>
      <c r="N194" s="3222"/>
      <c r="O194" s="3222"/>
      <c r="P194" s="3222"/>
      <c r="Q194" s="3222"/>
      <c r="R194" s="3222"/>
      <c r="S194" s="3222"/>
      <c r="T194" s="3222"/>
      <c r="U194" s="3222"/>
      <c r="V194" s="3222"/>
      <c r="W194" s="3222"/>
      <c r="X194" s="3222"/>
      <c r="Y194" s="3531"/>
    </row>
    <row r="195" spans="1:25" s="3540" customFormat="1" ht="22.5" customHeight="1">
      <c r="A195" s="3221"/>
      <c r="B195" s="3222"/>
      <c r="C195" s="3222"/>
      <c r="D195" s="3222"/>
      <c r="E195" s="3222"/>
      <c r="F195" s="3222"/>
      <c r="G195" s="3222"/>
      <c r="H195" s="3222"/>
      <c r="I195" s="3222"/>
      <c r="J195" s="3222"/>
      <c r="K195" s="3222"/>
      <c r="L195" s="3222"/>
      <c r="M195" s="3222"/>
      <c r="N195" s="3222"/>
      <c r="O195" s="3222"/>
      <c r="P195" s="3222"/>
      <c r="Q195" s="3222"/>
      <c r="R195" s="3222"/>
      <c r="S195" s="3222"/>
      <c r="T195" s="3222"/>
      <c r="U195" s="3222"/>
      <c r="V195" s="3222"/>
      <c r="W195" s="3222"/>
      <c r="X195" s="3222"/>
      <c r="Y195" s="3531"/>
    </row>
    <row r="196" spans="1:25" s="3354" customFormat="1" ht="12.75" customHeight="1">
      <c r="A196" s="3221"/>
      <c r="B196" s="3222"/>
      <c r="C196" s="3222"/>
      <c r="D196" s="3222"/>
      <c r="E196" s="3222"/>
      <c r="F196" s="3222"/>
      <c r="G196" s="3222"/>
      <c r="H196" s="3222"/>
      <c r="I196" s="3222"/>
      <c r="J196" s="3222"/>
      <c r="K196" s="3222"/>
      <c r="L196" s="3222"/>
      <c r="M196" s="3222"/>
      <c r="N196" s="3222"/>
      <c r="O196" s="3222"/>
      <c r="P196" s="3222"/>
      <c r="Q196" s="3222"/>
      <c r="R196" s="3222"/>
      <c r="S196" s="3222"/>
      <c r="T196" s="3222"/>
      <c r="U196" s="3222"/>
      <c r="V196" s="3222"/>
      <c r="W196" s="3222"/>
      <c r="X196" s="3222"/>
      <c r="Y196" s="3531"/>
    </row>
    <row r="197" spans="1:25" s="3354" customFormat="1" ht="12.75" customHeight="1">
      <c r="A197" s="3221"/>
      <c r="B197" s="3222"/>
      <c r="C197" s="3222"/>
      <c r="D197" s="3222"/>
      <c r="E197" s="3222"/>
      <c r="F197" s="3222"/>
      <c r="G197" s="3222"/>
      <c r="H197" s="3222"/>
      <c r="I197" s="3222"/>
      <c r="J197" s="3222"/>
      <c r="K197" s="3222"/>
      <c r="L197" s="3222"/>
      <c r="M197" s="3222"/>
      <c r="N197" s="3222"/>
      <c r="O197" s="3222"/>
      <c r="P197" s="3222"/>
      <c r="Q197" s="3222"/>
      <c r="R197" s="3222"/>
      <c r="S197" s="3222"/>
      <c r="T197" s="3222"/>
      <c r="U197" s="3222"/>
      <c r="V197" s="3222"/>
      <c r="W197" s="3222"/>
      <c r="X197" s="3222"/>
      <c r="Y197" s="3531"/>
    </row>
    <row r="198" spans="1:25" s="3354" customFormat="1">
      <c r="A198" s="3221"/>
      <c r="B198" s="3222"/>
      <c r="C198" s="3222"/>
      <c r="D198" s="3222"/>
      <c r="E198" s="3222"/>
      <c r="F198" s="3222"/>
      <c r="G198" s="3222"/>
      <c r="H198" s="3222"/>
      <c r="I198" s="3222"/>
      <c r="J198" s="3222"/>
      <c r="K198" s="3222"/>
      <c r="L198" s="3222"/>
      <c r="M198" s="3222"/>
      <c r="N198" s="3222"/>
      <c r="O198" s="3222"/>
      <c r="P198" s="3222"/>
      <c r="Q198" s="3222"/>
      <c r="R198" s="3222"/>
      <c r="S198" s="3222"/>
      <c r="T198" s="3222"/>
      <c r="U198" s="3222"/>
      <c r="V198" s="3222"/>
      <c r="W198" s="3222"/>
      <c r="X198" s="3222"/>
      <c r="Y198" s="3531"/>
    </row>
    <row r="199" spans="1:25" s="3354" customFormat="1">
      <c r="A199" s="3221"/>
      <c r="B199" s="3222"/>
      <c r="C199" s="3222"/>
      <c r="D199" s="3222"/>
      <c r="E199" s="3222"/>
      <c r="F199" s="3222"/>
      <c r="G199" s="3222"/>
      <c r="H199" s="3222"/>
      <c r="I199" s="3222"/>
      <c r="J199" s="3222"/>
      <c r="K199" s="3222"/>
      <c r="L199" s="3222"/>
      <c r="M199" s="3222"/>
      <c r="N199" s="3222"/>
      <c r="O199" s="3222"/>
      <c r="P199" s="3222"/>
      <c r="Q199" s="3222"/>
      <c r="R199" s="3222"/>
      <c r="S199" s="3222"/>
      <c r="T199" s="3222"/>
      <c r="U199" s="3222"/>
      <c r="V199" s="3222"/>
      <c r="W199" s="3222"/>
      <c r="X199" s="3222"/>
      <c r="Y199" s="3531"/>
    </row>
    <row r="200" spans="1:25" s="3540" customFormat="1" ht="34.5" customHeight="1">
      <c r="A200" s="3221"/>
      <c r="B200" s="3222"/>
      <c r="C200" s="3222"/>
      <c r="D200" s="3222"/>
      <c r="E200" s="3222"/>
      <c r="F200" s="3222"/>
      <c r="G200" s="3222"/>
      <c r="H200" s="3222"/>
      <c r="I200" s="3222"/>
      <c r="J200" s="3222"/>
      <c r="K200" s="3222"/>
      <c r="L200" s="3222"/>
      <c r="M200" s="3222"/>
      <c r="N200" s="3222"/>
      <c r="O200" s="3222"/>
      <c r="P200" s="3222"/>
      <c r="Q200" s="3222"/>
      <c r="R200" s="3222"/>
      <c r="S200" s="3222"/>
      <c r="T200" s="3222"/>
      <c r="U200" s="3222"/>
      <c r="V200" s="3222"/>
      <c r="W200" s="3222"/>
      <c r="X200" s="3222"/>
      <c r="Y200" s="3531"/>
    </row>
    <row r="201" spans="1:25" s="3354" customFormat="1" ht="14.25" customHeight="1">
      <c r="A201" s="3221"/>
      <c r="B201" s="3222"/>
      <c r="C201" s="3222"/>
      <c r="D201" s="3222"/>
      <c r="E201" s="3222"/>
      <c r="F201" s="3222"/>
      <c r="G201" s="3222"/>
      <c r="H201" s="3222"/>
      <c r="I201" s="3222"/>
      <c r="J201" s="3222"/>
      <c r="K201" s="3222"/>
      <c r="L201" s="3222"/>
      <c r="M201" s="3222"/>
      <c r="N201" s="3222"/>
      <c r="O201" s="3222"/>
      <c r="P201" s="3222"/>
      <c r="Q201" s="3222"/>
      <c r="R201" s="3222"/>
      <c r="S201" s="3222"/>
      <c r="T201" s="3222"/>
      <c r="U201" s="3222"/>
      <c r="V201" s="3222"/>
      <c r="W201" s="3222"/>
      <c r="X201" s="3222"/>
      <c r="Y201" s="3531"/>
    </row>
    <row r="202" spans="1:25" s="3354" customFormat="1" ht="12.75" customHeight="1">
      <c r="A202" s="3221"/>
      <c r="B202" s="3222"/>
      <c r="C202" s="3222"/>
      <c r="D202" s="3222"/>
      <c r="E202" s="3222"/>
      <c r="F202" s="3222"/>
      <c r="G202" s="3222"/>
      <c r="H202" s="3222"/>
      <c r="I202" s="3222"/>
      <c r="J202" s="3222"/>
      <c r="K202" s="3222"/>
      <c r="L202" s="3222"/>
      <c r="M202" s="3222"/>
      <c r="N202" s="3222"/>
      <c r="O202" s="3222"/>
      <c r="P202" s="3222"/>
      <c r="Q202" s="3222"/>
      <c r="R202" s="3222"/>
      <c r="S202" s="3222"/>
      <c r="T202" s="3222"/>
      <c r="U202" s="3222"/>
      <c r="V202" s="3222"/>
      <c r="W202" s="3222"/>
      <c r="X202" s="3222"/>
      <c r="Y202" s="3531"/>
    </row>
    <row r="203" spans="1:25" s="3354" customFormat="1">
      <c r="A203" s="3221"/>
      <c r="B203" s="3222"/>
      <c r="C203" s="3222"/>
      <c r="D203" s="3222"/>
      <c r="E203" s="3222"/>
      <c r="F203" s="3222"/>
      <c r="G203" s="3222"/>
      <c r="H203" s="3222"/>
      <c r="I203" s="3222"/>
      <c r="J203" s="3222"/>
      <c r="K203" s="3222"/>
      <c r="L203" s="3222"/>
      <c r="M203" s="3222"/>
      <c r="N203" s="3222"/>
      <c r="O203" s="3222"/>
      <c r="P203" s="3222"/>
      <c r="Q203" s="3222"/>
      <c r="R203" s="3222"/>
      <c r="S203" s="3222"/>
      <c r="T203" s="3222"/>
      <c r="U203" s="3222"/>
      <c r="V203" s="3222"/>
      <c r="W203" s="3222"/>
      <c r="X203" s="3222"/>
      <c r="Y203" s="3531"/>
    </row>
    <row r="204" spans="1:25" s="3354" customFormat="1">
      <c r="A204" s="3221"/>
      <c r="B204" s="3222"/>
      <c r="C204" s="3222"/>
      <c r="D204" s="3222"/>
      <c r="E204" s="3222"/>
      <c r="F204" s="3222"/>
      <c r="G204" s="3222"/>
      <c r="H204" s="3222"/>
      <c r="I204" s="3222"/>
      <c r="J204" s="3222"/>
      <c r="K204" s="3222"/>
      <c r="L204" s="3222"/>
      <c r="M204" s="3222"/>
      <c r="N204" s="3222"/>
      <c r="O204" s="3222"/>
      <c r="P204" s="3222"/>
      <c r="Q204" s="3222"/>
      <c r="R204" s="3222"/>
      <c r="S204" s="3222"/>
      <c r="T204" s="3222"/>
      <c r="U204" s="3222"/>
      <c r="V204" s="3222"/>
      <c r="W204" s="3222"/>
      <c r="X204" s="3222"/>
      <c r="Y204" s="3531"/>
    </row>
    <row r="205" spans="1:25" s="3354" customFormat="1">
      <c r="A205" s="3221"/>
      <c r="B205" s="3222"/>
      <c r="C205" s="3222"/>
      <c r="D205" s="3222"/>
      <c r="E205" s="3222"/>
      <c r="F205" s="3222"/>
      <c r="G205" s="3222"/>
      <c r="H205" s="3222"/>
      <c r="I205" s="3222"/>
      <c r="J205" s="3222"/>
      <c r="K205" s="3222"/>
      <c r="L205" s="3222"/>
      <c r="M205" s="3222"/>
      <c r="N205" s="3222"/>
      <c r="O205" s="3222"/>
      <c r="P205" s="3222"/>
      <c r="Q205" s="3222"/>
      <c r="R205" s="3222"/>
      <c r="S205" s="3222"/>
      <c r="T205" s="3222"/>
      <c r="U205" s="3222"/>
      <c r="V205" s="3222"/>
      <c r="W205" s="3222"/>
      <c r="X205" s="3222"/>
      <c r="Y205" s="3531"/>
    </row>
    <row r="206" spans="1:25" s="3540" customFormat="1" ht="36.75" customHeight="1">
      <c r="A206" s="3221"/>
      <c r="B206" s="3222"/>
      <c r="C206" s="3222"/>
      <c r="D206" s="3222"/>
      <c r="E206" s="3222"/>
      <c r="F206" s="3222"/>
      <c r="G206" s="3222"/>
      <c r="H206" s="3222"/>
      <c r="I206" s="3222"/>
      <c r="J206" s="3222"/>
      <c r="K206" s="3222"/>
      <c r="L206" s="3222"/>
      <c r="M206" s="3222"/>
      <c r="N206" s="3222"/>
      <c r="O206" s="3222"/>
      <c r="P206" s="3222"/>
      <c r="Q206" s="3222"/>
      <c r="R206" s="3222"/>
      <c r="S206" s="3222"/>
      <c r="T206" s="3222"/>
      <c r="U206" s="3222"/>
      <c r="V206" s="3222"/>
      <c r="W206" s="3222"/>
      <c r="X206" s="3222"/>
      <c r="Y206" s="3531"/>
    </row>
    <row r="207" spans="1:25" s="3354" customFormat="1" ht="9.75" customHeight="1">
      <c r="A207" s="3221"/>
      <c r="B207" s="3222"/>
      <c r="C207" s="3222"/>
      <c r="D207" s="3222"/>
      <c r="E207" s="3222"/>
      <c r="F207" s="3222"/>
      <c r="G207" s="3222"/>
      <c r="H207" s="3222"/>
      <c r="I207" s="3222"/>
      <c r="J207" s="3222"/>
      <c r="K207" s="3222"/>
      <c r="L207" s="3222"/>
      <c r="M207" s="3222"/>
      <c r="N207" s="3222"/>
      <c r="O207" s="3222"/>
      <c r="P207" s="3222"/>
      <c r="Q207" s="3222"/>
      <c r="R207" s="3222"/>
      <c r="S207" s="3222"/>
      <c r="T207" s="3222"/>
      <c r="U207" s="3222"/>
      <c r="V207" s="3222"/>
      <c r="W207" s="3222"/>
      <c r="X207" s="3222"/>
      <c r="Y207" s="3531"/>
    </row>
    <row r="208" spans="1:25" s="3354" customFormat="1" ht="12.75" customHeight="1">
      <c r="A208" s="3221"/>
      <c r="B208" s="3222"/>
      <c r="C208" s="3222"/>
      <c r="D208" s="3222"/>
      <c r="E208" s="3222"/>
      <c r="F208" s="3222"/>
      <c r="G208" s="3222"/>
      <c r="H208" s="3222"/>
      <c r="I208" s="3222"/>
      <c r="J208" s="3222"/>
      <c r="K208" s="3222"/>
      <c r="L208" s="3222"/>
      <c r="M208" s="3222"/>
      <c r="N208" s="3222"/>
      <c r="O208" s="3222"/>
      <c r="P208" s="3222"/>
      <c r="Q208" s="3222"/>
      <c r="R208" s="3222"/>
      <c r="S208" s="3222"/>
      <c r="T208" s="3222"/>
      <c r="U208" s="3222"/>
      <c r="V208" s="3222"/>
      <c r="W208" s="3222"/>
      <c r="X208" s="3222"/>
      <c r="Y208" s="3531"/>
    </row>
    <row r="209" spans="1:25" s="3354" customFormat="1">
      <c r="A209" s="3221"/>
      <c r="B209" s="3222"/>
      <c r="C209" s="3222"/>
      <c r="D209" s="3222"/>
      <c r="E209" s="3222"/>
      <c r="F209" s="3222"/>
      <c r="G209" s="3222"/>
      <c r="H209" s="3222"/>
      <c r="I209" s="3222"/>
      <c r="J209" s="3222"/>
      <c r="K209" s="3222"/>
      <c r="L209" s="3222"/>
      <c r="M209" s="3222"/>
      <c r="N209" s="3222"/>
      <c r="O209" s="3222"/>
      <c r="P209" s="3222"/>
      <c r="Q209" s="3222"/>
      <c r="R209" s="3222"/>
      <c r="S209" s="3222"/>
      <c r="T209" s="3222"/>
      <c r="U209" s="3222"/>
      <c r="V209" s="3222"/>
      <c r="W209" s="3222"/>
      <c r="X209" s="3222"/>
      <c r="Y209" s="3531"/>
    </row>
    <row r="210" spans="1:25" s="3354" customFormat="1">
      <c r="A210" s="3221"/>
      <c r="B210" s="3222"/>
      <c r="C210" s="3222"/>
      <c r="D210" s="3222"/>
      <c r="E210" s="3222"/>
      <c r="F210" s="3222"/>
      <c r="G210" s="3222"/>
      <c r="H210" s="3222"/>
      <c r="I210" s="3222"/>
      <c r="J210" s="3222"/>
      <c r="K210" s="3222"/>
      <c r="L210" s="3222"/>
      <c r="M210" s="3222"/>
      <c r="N210" s="3222"/>
      <c r="O210" s="3222"/>
      <c r="P210" s="3222"/>
      <c r="Q210" s="3222"/>
      <c r="R210" s="3222"/>
      <c r="S210" s="3222"/>
      <c r="T210" s="3222"/>
      <c r="U210" s="3222"/>
      <c r="V210" s="3222"/>
      <c r="W210" s="3222"/>
      <c r="X210" s="3222"/>
      <c r="Y210" s="3531"/>
    </row>
    <row r="211" spans="1:25" s="3354" customFormat="1">
      <c r="A211" s="3221"/>
      <c r="B211" s="3222"/>
      <c r="C211" s="3222"/>
      <c r="D211" s="3222"/>
      <c r="E211" s="3222"/>
      <c r="F211" s="3222"/>
      <c r="G211" s="3222"/>
      <c r="H211" s="3222"/>
      <c r="I211" s="3222"/>
      <c r="J211" s="3222"/>
      <c r="K211" s="3222"/>
      <c r="L211" s="3222"/>
      <c r="M211" s="3222"/>
      <c r="N211" s="3222"/>
      <c r="O211" s="3222"/>
      <c r="P211" s="3222"/>
      <c r="Q211" s="3222"/>
      <c r="R211" s="3222"/>
      <c r="S211" s="3222"/>
      <c r="T211" s="3222"/>
      <c r="U211" s="3222"/>
      <c r="V211" s="3222"/>
      <c r="W211" s="3222"/>
      <c r="X211" s="3222"/>
      <c r="Y211" s="3531"/>
    </row>
    <row r="212" spans="1:25" s="3540" customFormat="1" ht="33.75" customHeight="1">
      <c r="A212" s="3221"/>
      <c r="B212" s="3222"/>
      <c r="C212" s="3222"/>
      <c r="D212" s="3222"/>
      <c r="E212" s="3222"/>
      <c r="F212" s="3222"/>
      <c r="G212" s="3222"/>
      <c r="H212" s="3222"/>
      <c r="I212" s="3222"/>
      <c r="J212" s="3222"/>
      <c r="K212" s="3222"/>
      <c r="L212" s="3222"/>
      <c r="M212" s="3222"/>
      <c r="N212" s="3222"/>
      <c r="O212" s="3222"/>
      <c r="P212" s="3222"/>
      <c r="Q212" s="3222"/>
      <c r="R212" s="3222"/>
      <c r="S212" s="3222"/>
      <c r="T212" s="3222"/>
      <c r="U212" s="3222"/>
      <c r="V212" s="3222"/>
      <c r="W212" s="3222"/>
      <c r="X212" s="3222"/>
      <c r="Y212" s="3531"/>
    </row>
    <row r="213" spans="1:25" s="3354" customFormat="1" ht="9.75" customHeight="1">
      <c r="A213" s="3221"/>
      <c r="B213" s="3222"/>
      <c r="C213" s="3222"/>
      <c r="D213" s="3222"/>
      <c r="E213" s="3222"/>
      <c r="F213" s="3222"/>
      <c r="G213" s="3222"/>
      <c r="H213" s="3222"/>
      <c r="I213" s="3222"/>
      <c r="J213" s="3222"/>
      <c r="K213" s="3222"/>
      <c r="L213" s="3222"/>
      <c r="M213" s="3222"/>
      <c r="N213" s="3222"/>
      <c r="O213" s="3222"/>
      <c r="P213" s="3222"/>
      <c r="Q213" s="3222"/>
      <c r="R213" s="3222"/>
      <c r="S213" s="3222"/>
      <c r="T213" s="3222"/>
      <c r="U213" s="3222"/>
      <c r="V213" s="3222"/>
      <c r="W213" s="3222"/>
      <c r="X213" s="3222"/>
      <c r="Y213" s="3531"/>
    </row>
    <row r="214" spans="1:25" s="3354" customFormat="1" ht="12.75" customHeight="1">
      <c r="A214" s="3221"/>
      <c r="B214" s="3222"/>
      <c r="C214" s="3222"/>
      <c r="D214" s="3222"/>
      <c r="E214" s="3222"/>
      <c r="F214" s="3222"/>
      <c r="G214" s="3222"/>
      <c r="H214" s="3222"/>
      <c r="I214" s="3222"/>
      <c r="J214" s="3222"/>
      <c r="K214" s="3222"/>
      <c r="L214" s="3222"/>
      <c r="M214" s="3222"/>
      <c r="N214" s="3222"/>
      <c r="O214" s="3222"/>
      <c r="P214" s="3222"/>
      <c r="Q214" s="3222"/>
      <c r="R214" s="3222"/>
      <c r="S214" s="3222"/>
      <c r="T214" s="3222"/>
      <c r="U214" s="3222"/>
      <c r="V214" s="3222"/>
      <c r="W214" s="3222"/>
      <c r="X214" s="3222"/>
      <c r="Y214" s="3531"/>
    </row>
    <row r="215" spans="1:25" s="3354" customFormat="1">
      <c r="A215" s="3221"/>
      <c r="B215" s="3222"/>
      <c r="C215" s="3222"/>
      <c r="D215" s="3222"/>
      <c r="E215" s="3222"/>
      <c r="F215" s="3222"/>
      <c r="G215" s="3222"/>
      <c r="H215" s="3222"/>
      <c r="I215" s="3222"/>
      <c r="J215" s="3222"/>
      <c r="K215" s="3222"/>
      <c r="L215" s="3222"/>
      <c r="M215" s="3222"/>
      <c r="N215" s="3222"/>
      <c r="O215" s="3222"/>
      <c r="P215" s="3222"/>
      <c r="Q215" s="3222"/>
      <c r="R215" s="3222"/>
      <c r="S215" s="3222"/>
      <c r="T215" s="3222"/>
      <c r="U215" s="3222"/>
      <c r="V215" s="3222"/>
      <c r="W215" s="3222"/>
      <c r="X215" s="3222"/>
      <c r="Y215" s="3531"/>
    </row>
    <row r="216" spans="1:25" s="3354" customFormat="1">
      <c r="A216" s="3221"/>
      <c r="B216" s="3222"/>
      <c r="C216" s="3222"/>
      <c r="D216" s="3222"/>
      <c r="E216" s="3222"/>
      <c r="F216" s="3222"/>
      <c r="G216" s="3222"/>
      <c r="H216" s="3222"/>
      <c r="I216" s="3222"/>
      <c r="J216" s="3222"/>
      <c r="K216" s="3222"/>
      <c r="L216" s="3222"/>
      <c r="M216" s="3222"/>
      <c r="N216" s="3222"/>
      <c r="O216" s="3222"/>
      <c r="P216" s="3222"/>
      <c r="Q216" s="3222"/>
      <c r="R216" s="3222"/>
      <c r="S216" s="3222"/>
      <c r="T216" s="3222"/>
      <c r="U216" s="3222"/>
      <c r="V216" s="3222"/>
      <c r="W216" s="3222"/>
      <c r="X216" s="3222"/>
      <c r="Y216" s="3531"/>
    </row>
    <row r="217" spans="1:25" s="3354" customFormat="1">
      <c r="A217" s="3221"/>
      <c r="B217" s="3222"/>
      <c r="C217" s="3222"/>
      <c r="D217" s="3222"/>
      <c r="E217" s="3222"/>
      <c r="F217" s="3222"/>
      <c r="G217" s="3222"/>
      <c r="H217" s="3222"/>
      <c r="I217" s="3222"/>
      <c r="J217" s="3222"/>
      <c r="K217" s="3222"/>
      <c r="L217" s="3222"/>
      <c r="M217" s="3222"/>
      <c r="N217" s="3222"/>
      <c r="O217" s="3222"/>
      <c r="P217" s="3222"/>
      <c r="Q217" s="3222"/>
      <c r="R217" s="3222"/>
      <c r="S217" s="3222"/>
      <c r="T217" s="3222"/>
      <c r="U217" s="3222"/>
      <c r="V217" s="3222"/>
      <c r="W217" s="3222"/>
      <c r="X217" s="3222"/>
      <c r="Y217" s="3531"/>
    </row>
    <row r="218" spans="1:25" s="3354" customFormat="1">
      <c r="A218" s="3221"/>
      <c r="B218" s="3222"/>
      <c r="C218" s="3222"/>
      <c r="D218" s="3222"/>
      <c r="E218" s="3222"/>
      <c r="F218" s="3222"/>
      <c r="G218" s="3222"/>
      <c r="H218" s="3222"/>
      <c r="I218" s="3222"/>
      <c r="J218" s="3222"/>
      <c r="K218" s="3222"/>
      <c r="L218" s="3222"/>
      <c r="M218" s="3222"/>
      <c r="N218" s="3222"/>
      <c r="O218" s="3222"/>
      <c r="P218" s="3222"/>
      <c r="Q218" s="3222"/>
      <c r="R218" s="3222"/>
      <c r="S218" s="3222"/>
      <c r="T218" s="3222"/>
      <c r="U218" s="3222"/>
      <c r="V218" s="3222"/>
      <c r="W218" s="3222"/>
      <c r="X218" s="3222"/>
      <c r="Y218" s="3531"/>
    </row>
    <row r="219" spans="1:25" s="3530" customFormat="1" ht="14.25" customHeight="1">
      <c r="A219" s="3221"/>
      <c r="B219" s="3222"/>
      <c r="C219" s="3222"/>
      <c r="D219" s="3222"/>
      <c r="E219" s="3222"/>
      <c r="F219" s="3222"/>
      <c r="G219" s="3222"/>
      <c r="H219" s="3222"/>
      <c r="I219" s="3222"/>
      <c r="J219" s="3222"/>
      <c r="K219" s="3222"/>
      <c r="L219" s="3222"/>
      <c r="M219" s="3222"/>
      <c r="N219" s="3222"/>
      <c r="O219" s="3222"/>
      <c r="P219" s="3222"/>
      <c r="Q219" s="3222"/>
      <c r="R219" s="3222"/>
      <c r="S219" s="3222"/>
      <c r="T219" s="3222"/>
      <c r="U219" s="3222"/>
      <c r="V219" s="3222"/>
      <c r="W219" s="3222"/>
      <c r="X219" s="3222"/>
      <c r="Y219" s="3531"/>
    </row>
    <row r="220" spans="1:25" s="3354" customFormat="1">
      <c r="A220" s="3221"/>
      <c r="B220" s="3222"/>
      <c r="C220" s="3222"/>
      <c r="D220" s="3222"/>
      <c r="E220" s="3222"/>
      <c r="F220" s="3222"/>
      <c r="G220" s="3222"/>
      <c r="H220" s="3222"/>
      <c r="I220" s="3222"/>
      <c r="J220" s="3222"/>
      <c r="K220" s="3222"/>
      <c r="L220" s="3222"/>
      <c r="M220" s="3222"/>
      <c r="N220" s="3222"/>
      <c r="O220" s="3222"/>
      <c r="P220" s="3222"/>
      <c r="Q220" s="3222"/>
      <c r="R220" s="3222"/>
      <c r="S220" s="3222"/>
      <c r="T220" s="3222"/>
      <c r="U220" s="3222"/>
      <c r="V220" s="3222"/>
      <c r="W220" s="3222"/>
      <c r="X220" s="3222"/>
      <c r="Y220" s="3531"/>
    </row>
    <row r="221" spans="1:25" s="3534" customFormat="1" ht="23.25" customHeight="1">
      <c r="A221" s="3221"/>
      <c r="B221" s="3222"/>
      <c r="C221" s="3222"/>
      <c r="D221" s="3222"/>
      <c r="E221" s="3222"/>
      <c r="F221" s="3222"/>
      <c r="G221" s="3222"/>
      <c r="H221" s="3222"/>
      <c r="I221" s="3222"/>
      <c r="J221" s="3222"/>
      <c r="K221" s="3222"/>
      <c r="L221" s="3222"/>
      <c r="M221" s="3222"/>
      <c r="N221" s="3222"/>
      <c r="O221" s="3222"/>
      <c r="P221" s="3222"/>
      <c r="Q221" s="3222"/>
      <c r="R221" s="3222"/>
      <c r="S221" s="3222"/>
      <c r="T221" s="3222"/>
      <c r="U221" s="3222"/>
      <c r="V221" s="3222"/>
      <c r="W221" s="3222"/>
      <c r="X221" s="3222"/>
      <c r="Y221" s="3531"/>
    </row>
    <row r="222" spans="1:25" s="3354" customFormat="1">
      <c r="A222" s="3221"/>
      <c r="B222" s="3222"/>
      <c r="C222" s="3222"/>
      <c r="D222" s="3222"/>
      <c r="E222" s="3222"/>
      <c r="F222" s="3222"/>
      <c r="G222" s="3222"/>
      <c r="H222" s="3222"/>
      <c r="I222" s="3222"/>
      <c r="J222" s="3222"/>
      <c r="K222" s="3222"/>
      <c r="L222" s="3222"/>
      <c r="M222" s="3222"/>
      <c r="N222" s="3222"/>
      <c r="O222" s="3222"/>
      <c r="P222" s="3222"/>
      <c r="Q222" s="3222"/>
      <c r="R222" s="3222"/>
      <c r="S222" s="3222"/>
      <c r="T222" s="3222"/>
      <c r="U222" s="3222"/>
      <c r="V222" s="3222"/>
      <c r="W222" s="3222"/>
      <c r="X222" s="3222"/>
      <c r="Y222" s="3531"/>
    </row>
    <row r="223" spans="1:25" s="3532" customFormat="1" ht="15.75" customHeight="1">
      <c r="A223" s="3221"/>
      <c r="B223" s="3222"/>
      <c r="C223" s="3222"/>
      <c r="D223" s="3222"/>
      <c r="E223" s="3222"/>
      <c r="F223" s="3222"/>
      <c r="G223" s="3222"/>
      <c r="H223" s="3222"/>
      <c r="I223" s="3222"/>
      <c r="J223" s="3222"/>
      <c r="K223" s="3222"/>
      <c r="L223" s="3222"/>
      <c r="M223" s="3222"/>
      <c r="N223" s="3222"/>
      <c r="O223" s="3222"/>
      <c r="P223" s="3222"/>
      <c r="Q223" s="3222"/>
      <c r="R223" s="3222"/>
      <c r="S223" s="3222"/>
      <c r="T223" s="3222"/>
      <c r="U223" s="3222"/>
      <c r="V223" s="3222"/>
      <c r="W223" s="3222"/>
      <c r="X223" s="3222"/>
      <c r="Y223" s="3531"/>
    </row>
    <row r="224" spans="1:25" s="3532" customFormat="1" ht="12.75" customHeight="1">
      <c r="A224" s="3221"/>
      <c r="B224" s="3222"/>
      <c r="C224" s="3222"/>
      <c r="D224" s="3222"/>
      <c r="E224" s="3222"/>
      <c r="F224" s="3222"/>
      <c r="G224" s="3222"/>
      <c r="H224" s="3222"/>
      <c r="I224" s="3222"/>
      <c r="J224" s="3222"/>
      <c r="K224" s="3222"/>
      <c r="L224" s="3222"/>
      <c r="M224" s="3222"/>
      <c r="N224" s="3222"/>
      <c r="O224" s="3222"/>
      <c r="P224" s="3222"/>
      <c r="Q224" s="3222"/>
      <c r="R224" s="3222"/>
      <c r="S224" s="3222"/>
      <c r="T224" s="3222"/>
      <c r="U224" s="3222"/>
      <c r="V224" s="3222"/>
      <c r="W224" s="3222"/>
      <c r="X224" s="3222"/>
      <c r="Y224" s="3531"/>
    </row>
    <row r="225" spans="1:25" s="3532" customFormat="1" ht="12.75" customHeight="1">
      <c r="A225" s="3221"/>
      <c r="B225" s="3222"/>
      <c r="C225" s="3222"/>
      <c r="D225" s="3222"/>
      <c r="E225" s="3222"/>
      <c r="F225" s="3222"/>
      <c r="G225" s="3222"/>
      <c r="H225" s="3222"/>
      <c r="I225" s="3222"/>
      <c r="J225" s="3222"/>
      <c r="K225" s="3222"/>
      <c r="L225" s="3222"/>
      <c r="M225" s="3222"/>
      <c r="N225" s="3222"/>
      <c r="O225" s="3222"/>
      <c r="P225" s="3222"/>
      <c r="Q225" s="3222"/>
      <c r="R225" s="3222"/>
      <c r="S225" s="3222"/>
      <c r="T225" s="3222"/>
      <c r="U225" s="3222"/>
      <c r="V225" s="3222"/>
      <c r="W225" s="3222"/>
      <c r="X225" s="3222"/>
      <c r="Y225" s="3531"/>
    </row>
    <row r="226" spans="1:25" s="3532" customFormat="1" ht="12" customHeight="1">
      <c r="A226" s="3221"/>
      <c r="B226" s="3222"/>
      <c r="C226" s="3222"/>
      <c r="D226" s="3222"/>
      <c r="E226" s="3222"/>
      <c r="F226" s="3222"/>
      <c r="G226" s="3222"/>
      <c r="H226" s="3222"/>
      <c r="I226" s="3222"/>
      <c r="J226" s="3222"/>
      <c r="K226" s="3222"/>
      <c r="L226" s="3222"/>
      <c r="M226" s="3222"/>
      <c r="N226" s="3222"/>
      <c r="O226" s="3222"/>
      <c r="P226" s="3222"/>
      <c r="Q226" s="3222"/>
      <c r="R226" s="3222"/>
      <c r="S226" s="3222"/>
      <c r="T226" s="3222"/>
      <c r="U226" s="3222"/>
      <c r="V226" s="3222"/>
      <c r="W226" s="3222"/>
      <c r="X226" s="3222"/>
      <c r="Y226" s="3531"/>
    </row>
    <row r="227" spans="1:25" s="3530" customFormat="1" ht="24" customHeight="1">
      <c r="A227" s="3221"/>
      <c r="B227" s="3222"/>
      <c r="C227" s="3222"/>
      <c r="D227" s="3222"/>
      <c r="E227" s="3222"/>
      <c r="F227" s="3222"/>
      <c r="G227" s="3222"/>
      <c r="H227" s="3222"/>
      <c r="I227" s="3222"/>
      <c r="J227" s="3222"/>
      <c r="K227" s="3222"/>
      <c r="L227" s="3222"/>
      <c r="M227" s="3222"/>
      <c r="N227" s="3222"/>
      <c r="O227" s="3222"/>
      <c r="P227" s="3222"/>
      <c r="Q227" s="3222"/>
      <c r="R227" s="3222"/>
      <c r="S227" s="3222"/>
      <c r="T227" s="3222"/>
      <c r="U227" s="3222"/>
      <c r="V227" s="3222"/>
      <c r="W227" s="3222"/>
      <c r="X227" s="3222"/>
      <c r="Y227" s="3531"/>
    </row>
    <row r="228" spans="1:25" s="3354" customFormat="1" ht="11.25" customHeight="1">
      <c r="A228" s="3221"/>
      <c r="B228" s="3222"/>
      <c r="C228" s="3222"/>
      <c r="D228" s="3222"/>
      <c r="E228" s="3222"/>
      <c r="F228" s="3222"/>
      <c r="G228" s="3222"/>
      <c r="H228" s="3222"/>
      <c r="I228" s="3222"/>
      <c r="J228" s="3222"/>
      <c r="K228" s="3222"/>
      <c r="L228" s="3222"/>
      <c r="M228" s="3222"/>
      <c r="N228" s="3222"/>
      <c r="O228" s="3222"/>
      <c r="P228" s="3222"/>
      <c r="Q228" s="3222"/>
      <c r="R228" s="3222"/>
      <c r="S228" s="3222"/>
      <c r="T228" s="3222"/>
      <c r="U228" s="3222"/>
      <c r="V228" s="3222"/>
      <c r="W228" s="3222"/>
      <c r="X228" s="3222"/>
      <c r="Y228" s="3531"/>
    </row>
    <row r="229" spans="1:25" s="3354" customFormat="1" ht="12.75" customHeight="1">
      <c r="A229" s="3221"/>
      <c r="B229" s="3222"/>
      <c r="C229" s="3222"/>
      <c r="D229" s="3222"/>
      <c r="E229" s="3222"/>
      <c r="F229" s="3222"/>
      <c r="G229" s="3222"/>
      <c r="H229" s="3222"/>
      <c r="I229" s="3222"/>
      <c r="J229" s="3222"/>
      <c r="K229" s="3222"/>
      <c r="L229" s="3222"/>
      <c r="M229" s="3222"/>
      <c r="N229" s="3222"/>
      <c r="O229" s="3222"/>
      <c r="P229" s="3222"/>
      <c r="Q229" s="3222"/>
      <c r="R229" s="3222"/>
      <c r="S229" s="3222"/>
      <c r="T229" s="3222"/>
      <c r="U229" s="3222"/>
      <c r="V229" s="3222"/>
      <c r="W229" s="3222"/>
      <c r="X229" s="3222"/>
      <c r="Y229" s="3531"/>
    </row>
    <row r="230" spans="1:25" s="3354" customFormat="1">
      <c r="A230" s="3221"/>
      <c r="B230" s="3222"/>
      <c r="C230" s="3222"/>
      <c r="D230" s="3222"/>
      <c r="E230" s="3222"/>
      <c r="F230" s="3222"/>
      <c r="G230" s="3222"/>
      <c r="H230" s="3222"/>
      <c r="I230" s="3222"/>
      <c r="J230" s="3222"/>
      <c r="K230" s="3222"/>
      <c r="L230" s="3222"/>
      <c r="M230" s="3222"/>
      <c r="N230" s="3222"/>
      <c r="O230" s="3222"/>
      <c r="P230" s="3222"/>
      <c r="Q230" s="3222"/>
      <c r="R230" s="3222"/>
      <c r="S230" s="3222"/>
      <c r="T230" s="3222"/>
      <c r="U230" s="3222"/>
      <c r="V230" s="3222"/>
      <c r="W230" s="3222"/>
      <c r="X230" s="3222"/>
      <c r="Y230" s="3531"/>
    </row>
    <row r="231" spans="1:25" s="3354" customFormat="1">
      <c r="A231" s="3221"/>
      <c r="B231" s="3222"/>
      <c r="C231" s="3222"/>
      <c r="D231" s="3222"/>
      <c r="E231" s="3222"/>
      <c r="F231" s="3222"/>
      <c r="G231" s="3222"/>
      <c r="H231" s="3222"/>
      <c r="I231" s="3222"/>
      <c r="J231" s="3222"/>
      <c r="K231" s="3222"/>
      <c r="L231" s="3222"/>
      <c r="M231" s="3222"/>
      <c r="N231" s="3222"/>
      <c r="O231" s="3222"/>
      <c r="P231" s="3222"/>
      <c r="Q231" s="3222"/>
      <c r="R231" s="3222"/>
      <c r="S231" s="3222"/>
      <c r="T231" s="3222"/>
      <c r="U231" s="3222"/>
      <c r="V231" s="3222"/>
      <c r="W231" s="3222"/>
      <c r="X231" s="3222"/>
      <c r="Y231" s="3531"/>
    </row>
    <row r="232" spans="1:25" s="3354" customFormat="1">
      <c r="A232" s="3221"/>
      <c r="B232" s="3222"/>
      <c r="C232" s="3222"/>
      <c r="D232" s="3222"/>
      <c r="E232" s="3222"/>
      <c r="F232" s="3222"/>
      <c r="G232" s="3222"/>
      <c r="H232" s="3222"/>
      <c r="I232" s="3222"/>
      <c r="J232" s="3222"/>
      <c r="K232" s="3222"/>
      <c r="L232" s="3222"/>
      <c r="M232" s="3222"/>
      <c r="N232" s="3222"/>
      <c r="O232" s="3222"/>
      <c r="P232" s="3222"/>
      <c r="Q232" s="3222"/>
      <c r="R232" s="3222"/>
      <c r="S232" s="3222"/>
      <c r="T232" s="3222"/>
      <c r="U232" s="3222"/>
      <c r="V232" s="3222"/>
      <c r="W232" s="3222"/>
      <c r="X232" s="3222"/>
      <c r="Y232" s="3531"/>
    </row>
    <row r="233" spans="1:25" s="3354" customFormat="1">
      <c r="A233" s="3221"/>
      <c r="B233" s="3222"/>
      <c r="C233" s="3222"/>
      <c r="D233" s="3222"/>
      <c r="E233" s="3222"/>
      <c r="F233" s="3222"/>
      <c r="G233" s="3222"/>
      <c r="H233" s="3222"/>
      <c r="I233" s="3222"/>
      <c r="J233" s="3222"/>
      <c r="K233" s="3222"/>
      <c r="L233" s="3222"/>
      <c r="M233" s="3222"/>
      <c r="N233" s="3222"/>
      <c r="O233" s="3222"/>
      <c r="P233" s="3222"/>
      <c r="Q233" s="3222"/>
      <c r="R233" s="3222"/>
      <c r="S233" s="3222"/>
      <c r="T233" s="3222"/>
      <c r="U233" s="3222"/>
      <c r="V233" s="3222"/>
      <c r="W233" s="3222"/>
      <c r="X233" s="3222"/>
      <c r="Y233" s="3531"/>
    </row>
    <row r="234" spans="1:25" s="3354" customFormat="1" ht="21.75" customHeight="1">
      <c r="A234" s="3221"/>
      <c r="B234" s="3222"/>
      <c r="C234" s="3222"/>
      <c r="D234" s="3222"/>
      <c r="E234" s="3222"/>
      <c r="F234" s="3222"/>
      <c r="G234" s="3222"/>
      <c r="H234" s="3222"/>
      <c r="I234" s="3222"/>
      <c r="J234" s="3222"/>
      <c r="K234" s="3222"/>
      <c r="L234" s="3222"/>
      <c r="M234" s="3222"/>
      <c r="N234" s="3222"/>
      <c r="O234" s="3222"/>
      <c r="P234" s="3222"/>
      <c r="Q234" s="3222"/>
      <c r="R234" s="3222"/>
      <c r="S234" s="3222"/>
      <c r="T234" s="3222"/>
      <c r="U234" s="3222"/>
      <c r="V234" s="3222"/>
      <c r="W234" s="3222"/>
      <c r="X234" s="3222"/>
      <c r="Y234" s="3531"/>
    </row>
    <row r="235" spans="1:25" s="3354" customFormat="1" ht="12.75" customHeight="1">
      <c r="A235" s="3221"/>
      <c r="B235" s="3222"/>
      <c r="C235" s="3222"/>
      <c r="D235" s="3222"/>
      <c r="E235" s="3222"/>
      <c r="F235" s="3222"/>
      <c r="G235" s="3222"/>
      <c r="H235" s="3222"/>
      <c r="I235" s="3222"/>
      <c r="J235" s="3222"/>
      <c r="K235" s="3222"/>
      <c r="L235" s="3222"/>
      <c r="M235" s="3222"/>
      <c r="N235" s="3222"/>
      <c r="O235" s="3222"/>
      <c r="P235" s="3222"/>
      <c r="Q235" s="3222"/>
      <c r="R235" s="3222"/>
      <c r="S235" s="3222"/>
      <c r="T235" s="3222"/>
      <c r="U235" s="3222"/>
      <c r="V235" s="3222"/>
      <c r="W235" s="3222"/>
      <c r="X235" s="3222"/>
      <c r="Y235" s="3531"/>
    </row>
    <row r="236" spans="1:25" s="3354" customFormat="1">
      <c r="A236" s="3221"/>
      <c r="B236" s="3222"/>
      <c r="C236" s="3222"/>
      <c r="D236" s="3222"/>
      <c r="E236" s="3222"/>
      <c r="F236" s="3222"/>
      <c r="G236" s="3222"/>
      <c r="H236" s="3222"/>
      <c r="I236" s="3222"/>
      <c r="J236" s="3222"/>
      <c r="K236" s="3222"/>
      <c r="L236" s="3222"/>
      <c r="M236" s="3222"/>
      <c r="N236" s="3222"/>
      <c r="O236" s="3222"/>
      <c r="P236" s="3222"/>
      <c r="Q236" s="3222"/>
      <c r="R236" s="3222"/>
      <c r="S236" s="3222"/>
      <c r="T236" s="3222"/>
      <c r="U236" s="3222"/>
      <c r="V236" s="3222"/>
      <c r="W236" s="3222"/>
      <c r="X236" s="3222"/>
      <c r="Y236" s="3531"/>
    </row>
    <row r="237" spans="1:25" s="3354" customFormat="1">
      <c r="A237" s="3221"/>
      <c r="B237" s="3222"/>
      <c r="C237" s="3222"/>
      <c r="D237" s="3222"/>
      <c r="E237" s="3222"/>
      <c r="F237" s="3222"/>
      <c r="G237" s="3222"/>
      <c r="H237" s="3222"/>
      <c r="I237" s="3222"/>
      <c r="J237" s="3222"/>
      <c r="K237" s="3222"/>
      <c r="L237" s="3222"/>
      <c r="M237" s="3222"/>
      <c r="N237" s="3222"/>
      <c r="O237" s="3222"/>
      <c r="P237" s="3222"/>
      <c r="Q237" s="3222"/>
      <c r="R237" s="3222"/>
      <c r="S237" s="3222"/>
      <c r="T237" s="3222"/>
      <c r="U237" s="3222"/>
      <c r="V237" s="3222"/>
      <c r="W237" s="3222"/>
      <c r="X237" s="3222"/>
      <c r="Y237" s="3531"/>
    </row>
    <row r="238" spans="1:25" s="3354" customFormat="1">
      <c r="A238" s="3221"/>
      <c r="B238" s="3222"/>
      <c r="C238" s="3222"/>
      <c r="D238" s="3222"/>
      <c r="E238" s="3222"/>
      <c r="F238" s="3222"/>
      <c r="G238" s="3222"/>
      <c r="H238" s="3222"/>
      <c r="I238" s="3222"/>
      <c r="J238" s="3222"/>
      <c r="K238" s="3222"/>
      <c r="L238" s="3222"/>
      <c r="M238" s="3222"/>
      <c r="N238" s="3222"/>
      <c r="O238" s="3222"/>
      <c r="P238" s="3222"/>
      <c r="Q238" s="3222"/>
      <c r="R238" s="3222"/>
      <c r="S238" s="3222"/>
      <c r="T238" s="3222"/>
      <c r="U238" s="3222"/>
      <c r="V238" s="3222"/>
      <c r="W238" s="3222"/>
      <c r="X238" s="3222"/>
      <c r="Y238" s="3531"/>
    </row>
    <row r="239" spans="1:25" s="3354" customFormat="1">
      <c r="A239" s="3221"/>
      <c r="B239" s="3222"/>
      <c r="C239" s="3222"/>
      <c r="D239" s="3222"/>
      <c r="E239" s="3222"/>
      <c r="F239" s="3222"/>
      <c r="G239" s="3222"/>
      <c r="H239" s="3222"/>
      <c r="I239" s="3222"/>
      <c r="J239" s="3222"/>
      <c r="K239" s="3222"/>
      <c r="L239" s="3222"/>
      <c r="M239" s="3222"/>
      <c r="N239" s="3222"/>
      <c r="O239" s="3222"/>
      <c r="P239" s="3222"/>
      <c r="Q239" s="3222"/>
      <c r="R239" s="3222"/>
      <c r="S239" s="3222"/>
      <c r="T239" s="3222"/>
      <c r="U239" s="3222"/>
      <c r="V239" s="3222"/>
      <c r="W239" s="3222"/>
      <c r="X239" s="3222"/>
      <c r="Y239" s="3531"/>
    </row>
    <row r="240" spans="1:25" s="3354" customFormat="1">
      <c r="A240" s="3221"/>
      <c r="B240" s="3222"/>
      <c r="C240" s="3222"/>
      <c r="D240" s="3222"/>
      <c r="E240" s="3222"/>
      <c r="F240" s="3222"/>
      <c r="G240" s="3222"/>
      <c r="H240" s="3222"/>
      <c r="I240" s="3222"/>
      <c r="J240" s="3222"/>
      <c r="K240" s="3222"/>
      <c r="L240" s="3222"/>
      <c r="M240" s="3222"/>
      <c r="N240" s="3222"/>
      <c r="O240" s="3222"/>
      <c r="P240" s="3222"/>
      <c r="Q240" s="3222"/>
      <c r="R240" s="3222"/>
      <c r="S240" s="3222"/>
      <c r="T240" s="3222"/>
      <c r="U240" s="3222"/>
      <c r="V240" s="3222"/>
      <c r="W240" s="3222"/>
      <c r="X240" s="3222"/>
      <c r="Y240" s="3531"/>
    </row>
    <row r="241" spans="1:25" s="3354" customFormat="1" ht="32.25" customHeight="1">
      <c r="A241" s="3221"/>
      <c r="B241" s="3222"/>
      <c r="C241" s="3222"/>
      <c r="D241" s="3222"/>
      <c r="E241" s="3222"/>
      <c r="F241" s="3222"/>
      <c r="G241" s="3222"/>
      <c r="H241" s="3222"/>
      <c r="I241" s="3222"/>
      <c r="J241" s="3222"/>
      <c r="K241" s="3222"/>
      <c r="L241" s="3222"/>
      <c r="M241" s="3222"/>
      <c r="N241" s="3222"/>
      <c r="O241" s="3222"/>
      <c r="P241" s="3222"/>
      <c r="Q241" s="3222"/>
      <c r="R241" s="3222"/>
      <c r="S241" s="3222"/>
      <c r="T241" s="3222"/>
      <c r="U241" s="3222"/>
      <c r="V241" s="3222"/>
      <c r="W241" s="3222"/>
      <c r="X241" s="3222"/>
      <c r="Y241" s="3531"/>
    </row>
    <row r="242" spans="1:25" s="3354" customFormat="1" ht="15" customHeight="1">
      <c r="A242" s="3221"/>
      <c r="B242" s="3222"/>
      <c r="C242" s="3222"/>
      <c r="D242" s="3222"/>
      <c r="E242" s="3222"/>
      <c r="F242" s="3222"/>
      <c r="G242" s="3222"/>
      <c r="H242" s="3222"/>
      <c r="I242" s="3222"/>
      <c r="J242" s="3222"/>
      <c r="K242" s="3222"/>
      <c r="L242" s="3222"/>
      <c r="M242" s="3222"/>
      <c r="N242" s="3222"/>
      <c r="O242" s="3222"/>
      <c r="P242" s="3222"/>
      <c r="Q242" s="3222"/>
      <c r="R242" s="3222"/>
      <c r="S242" s="3222"/>
      <c r="T242" s="3222"/>
      <c r="U242" s="3222"/>
      <c r="V242" s="3222"/>
      <c r="W242" s="3222"/>
      <c r="X242" s="3222"/>
      <c r="Y242" s="3531"/>
    </row>
    <row r="243" spans="1:25" s="3354" customFormat="1" ht="12.75" customHeight="1">
      <c r="A243" s="3221"/>
      <c r="B243" s="3222"/>
      <c r="C243" s="3222"/>
      <c r="D243" s="3222"/>
      <c r="E243" s="3222"/>
      <c r="F243" s="3222"/>
      <c r="G243" s="3222"/>
      <c r="H243" s="3222"/>
      <c r="I243" s="3222"/>
      <c r="J243" s="3222"/>
      <c r="K243" s="3222"/>
      <c r="L243" s="3222"/>
      <c r="M243" s="3222"/>
      <c r="N243" s="3222"/>
      <c r="O243" s="3222"/>
      <c r="P243" s="3222"/>
      <c r="Q243" s="3222"/>
      <c r="R243" s="3222"/>
      <c r="S243" s="3222"/>
      <c r="T243" s="3222"/>
      <c r="U243" s="3222"/>
      <c r="V243" s="3222"/>
      <c r="W243" s="3222"/>
      <c r="X243" s="3222"/>
      <c r="Y243" s="3531"/>
    </row>
    <row r="244" spans="1:25" s="3354" customFormat="1">
      <c r="A244" s="3221"/>
      <c r="B244" s="3222"/>
      <c r="C244" s="3222"/>
      <c r="D244" s="3222"/>
      <c r="E244" s="3222"/>
      <c r="F244" s="3222"/>
      <c r="G244" s="3222"/>
      <c r="H244" s="3222"/>
      <c r="I244" s="3222"/>
      <c r="J244" s="3222"/>
      <c r="K244" s="3222"/>
      <c r="L244" s="3222"/>
      <c r="M244" s="3222"/>
      <c r="N244" s="3222"/>
      <c r="O244" s="3222"/>
      <c r="P244" s="3222"/>
      <c r="Q244" s="3222"/>
      <c r="R244" s="3222"/>
      <c r="S244" s="3222"/>
      <c r="T244" s="3222"/>
      <c r="U244" s="3222"/>
      <c r="V244" s="3222"/>
      <c r="W244" s="3222"/>
      <c r="X244" s="3222"/>
      <c r="Y244" s="3531"/>
    </row>
    <row r="245" spans="1:25" s="3354" customFormat="1">
      <c r="A245" s="3221"/>
      <c r="B245" s="3222"/>
      <c r="C245" s="3222"/>
      <c r="D245" s="3222"/>
      <c r="E245" s="3222"/>
      <c r="F245" s="3222"/>
      <c r="G245" s="3222"/>
      <c r="H245" s="3222"/>
      <c r="I245" s="3222"/>
      <c r="J245" s="3222"/>
      <c r="K245" s="3222"/>
      <c r="L245" s="3222"/>
      <c r="M245" s="3222"/>
      <c r="N245" s="3222"/>
      <c r="O245" s="3222"/>
      <c r="P245" s="3222"/>
      <c r="Q245" s="3222"/>
      <c r="R245" s="3222"/>
      <c r="S245" s="3222"/>
      <c r="T245" s="3222"/>
      <c r="U245" s="3222"/>
      <c r="V245" s="3222"/>
      <c r="W245" s="3222"/>
      <c r="X245" s="3222"/>
      <c r="Y245" s="3531"/>
    </row>
    <row r="246" spans="1:25" s="3354" customFormat="1">
      <c r="A246" s="3221"/>
      <c r="B246" s="3222"/>
      <c r="C246" s="3222"/>
      <c r="D246" s="3222"/>
      <c r="E246" s="3222"/>
      <c r="F246" s="3222"/>
      <c r="G246" s="3222"/>
      <c r="H246" s="3222"/>
      <c r="I246" s="3222"/>
      <c r="J246" s="3222"/>
      <c r="K246" s="3222"/>
      <c r="L246" s="3222"/>
      <c r="M246" s="3222"/>
      <c r="N246" s="3222"/>
      <c r="O246" s="3222"/>
      <c r="P246" s="3222"/>
      <c r="Q246" s="3222"/>
      <c r="R246" s="3222"/>
      <c r="S246" s="3222"/>
      <c r="T246" s="3222"/>
      <c r="U246" s="3222"/>
      <c r="V246" s="3222"/>
      <c r="W246" s="3222"/>
      <c r="X246" s="3222"/>
      <c r="Y246" s="3531"/>
    </row>
    <row r="247" spans="1:25" s="3354" customFormat="1" ht="11.25" customHeight="1">
      <c r="A247" s="3221"/>
      <c r="B247" s="3222"/>
      <c r="C247" s="3222"/>
      <c r="D247" s="3222"/>
      <c r="E247" s="3222"/>
      <c r="F247" s="3222"/>
      <c r="G247" s="3222"/>
      <c r="H247" s="3222"/>
      <c r="I247" s="3222"/>
      <c r="J247" s="3222"/>
      <c r="K247" s="3222"/>
      <c r="L247" s="3222"/>
      <c r="M247" s="3222"/>
      <c r="N247" s="3222"/>
      <c r="O247" s="3222"/>
      <c r="P247" s="3222"/>
      <c r="Q247" s="3222"/>
      <c r="R247" s="3222"/>
      <c r="S247" s="3222"/>
      <c r="T247" s="3222"/>
      <c r="U247" s="3222"/>
      <c r="V247" s="3222"/>
      <c r="W247" s="3222"/>
      <c r="X247" s="3222"/>
      <c r="Y247" s="3531"/>
    </row>
    <row r="248" spans="1:25" s="3354" customFormat="1" ht="12.75" customHeight="1">
      <c r="A248" s="3221"/>
      <c r="B248" s="3222"/>
      <c r="C248" s="3222"/>
      <c r="D248" s="3222"/>
      <c r="E248" s="3222"/>
      <c r="F248" s="3222"/>
      <c r="G248" s="3222"/>
      <c r="H248" s="3222"/>
      <c r="I248" s="3222"/>
      <c r="J248" s="3222"/>
      <c r="K248" s="3222"/>
      <c r="L248" s="3222"/>
      <c r="M248" s="3222"/>
      <c r="N248" s="3222"/>
      <c r="O248" s="3222"/>
      <c r="P248" s="3222"/>
      <c r="Q248" s="3222"/>
      <c r="R248" s="3222"/>
      <c r="S248" s="3222"/>
      <c r="T248" s="3222"/>
      <c r="U248" s="3222"/>
      <c r="V248" s="3222"/>
      <c r="W248" s="3222"/>
      <c r="X248" s="3222"/>
      <c r="Y248" s="3531"/>
    </row>
    <row r="249" spans="1:25" s="3354" customFormat="1" ht="12.75" customHeight="1">
      <c r="A249" s="3221"/>
      <c r="B249" s="3222"/>
      <c r="C249" s="3222"/>
      <c r="D249" s="3222"/>
      <c r="E249" s="3222"/>
      <c r="F249" s="3222"/>
      <c r="G249" s="3222"/>
      <c r="H249" s="3222"/>
      <c r="I249" s="3222"/>
      <c r="J249" s="3222"/>
      <c r="K249" s="3222"/>
      <c r="L249" s="3222"/>
      <c r="M249" s="3222"/>
      <c r="N249" s="3222"/>
      <c r="O249" s="3222"/>
      <c r="P249" s="3222"/>
      <c r="Q249" s="3222"/>
      <c r="R249" s="3222"/>
      <c r="S249" s="3222"/>
      <c r="T249" s="3222"/>
      <c r="U249" s="3222"/>
      <c r="V249" s="3222"/>
      <c r="W249" s="3222"/>
      <c r="X249" s="3222"/>
      <c r="Y249" s="3531"/>
    </row>
    <row r="250" spans="1:25" s="3354" customFormat="1">
      <c r="A250" s="3221"/>
      <c r="B250" s="3222"/>
      <c r="C250" s="3222"/>
      <c r="D250" s="3222"/>
      <c r="E250" s="3222"/>
      <c r="F250" s="3222"/>
      <c r="G250" s="3222"/>
      <c r="H250" s="3222"/>
      <c r="I250" s="3222"/>
      <c r="J250" s="3222"/>
      <c r="K250" s="3222"/>
      <c r="L250" s="3222"/>
      <c r="M250" s="3222"/>
      <c r="N250" s="3222"/>
      <c r="O250" s="3222"/>
      <c r="P250" s="3222"/>
      <c r="Q250" s="3222"/>
      <c r="R250" s="3222"/>
      <c r="S250" s="3222"/>
      <c r="T250" s="3222"/>
      <c r="U250" s="3222"/>
      <c r="V250" s="3222"/>
      <c r="W250" s="3222"/>
      <c r="X250" s="3222"/>
      <c r="Y250" s="3531"/>
    </row>
    <row r="251" spans="1:25" s="3354" customFormat="1">
      <c r="A251" s="3221"/>
      <c r="B251" s="3222"/>
      <c r="C251" s="3222"/>
      <c r="D251" s="3222"/>
      <c r="E251" s="3222"/>
      <c r="F251" s="3222"/>
      <c r="G251" s="3222"/>
      <c r="H251" s="3222"/>
      <c r="I251" s="3222"/>
      <c r="J251" s="3222"/>
      <c r="K251" s="3222"/>
      <c r="L251" s="3222"/>
      <c r="M251" s="3222"/>
      <c r="N251" s="3222"/>
      <c r="O251" s="3222"/>
      <c r="P251" s="3222"/>
      <c r="Q251" s="3222"/>
      <c r="R251" s="3222"/>
      <c r="S251" s="3222"/>
      <c r="T251" s="3222"/>
      <c r="U251" s="3222"/>
      <c r="V251" s="3222"/>
      <c r="W251" s="3222"/>
      <c r="X251" s="3222"/>
      <c r="Y251" s="3531"/>
    </row>
    <row r="252" spans="1:25" s="3354" customFormat="1">
      <c r="A252" s="3221"/>
      <c r="B252" s="3222"/>
      <c r="C252" s="3222"/>
      <c r="D252" s="3222"/>
      <c r="E252" s="3222"/>
      <c r="F252" s="3222"/>
      <c r="G252" s="3222"/>
      <c r="H252" s="3222"/>
      <c r="I252" s="3222"/>
      <c r="J252" s="3222"/>
      <c r="K252" s="3222"/>
      <c r="L252" s="3222"/>
      <c r="M252" s="3222"/>
      <c r="N252" s="3222"/>
      <c r="O252" s="3222"/>
      <c r="P252" s="3222"/>
      <c r="Q252" s="3222"/>
      <c r="R252" s="3222"/>
      <c r="S252" s="3222"/>
      <c r="T252" s="3222"/>
      <c r="U252" s="3222"/>
      <c r="V252" s="3222"/>
      <c r="W252" s="3222"/>
      <c r="X252" s="3222"/>
      <c r="Y252" s="3531"/>
    </row>
    <row r="253" spans="1:25" s="3354" customFormat="1">
      <c r="A253" s="3221"/>
      <c r="B253" s="3222"/>
      <c r="C253" s="3222"/>
      <c r="D253" s="3222"/>
      <c r="E253" s="3222"/>
      <c r="F253" s="3222"/>
      <c r="G253" s="3222"/>
      <c r="H253" s="3222"/>
      <c r="I253" s="3222"/>
      <c r="J253" s="3222"/>
      <c r="K253" s="3222"/>
      <c r="L253" s="3222"/>
      <c r="M253" s="3222"/>
      <c r="N253" s="3222"/>
      <c r="O253" s="3222"/>
      <c r="P253" s="3222"/>
      <c r="Q253" s="3222"/>
      <c r="R253" s="3222"/>
      <c r="S253" s="3222"/>
      <c r="T253" s="3222"/>
      <c r="U253" s="3222"/>
      <c r="V253" s="3222"/>
      <c r="W253" s="3222"/>
      <c r="X253" s="3222"/>
      <c r="Y253" s="3531"/>
    </row>
    <row r="254" spans="1:25" s="3540" customFormat="1" ht="24.75" customHeight="1">
      <c r="A254" s="3221"/>
      <c r="B254" s="3222"/>
      <c r="C254" s="3222"/>
      <c r="D254" s="3222"/>
      <c r="E254" s="3222"/>
      <c r="F254" s="3222"/>
      <c r="G254" s="3222"/>
      <c r="H254" s="3222"/>
      <c r="I254" s="3222"/>
      <c r="J254" s="3222"/>
      <c r="K254" s="3222"/>
      <c r="L254" s="3222"/>
      <c r="M254" s="3222"/>
      <c r="N254" s="3222"/>
      <c r="O254" s="3222"/>
      <c r="P254" s="3222"/>
      <c r="Q254" s="3222"/>
      <c r="R254" s="3222"/>
      <c r="S254" s="3222"/>
      <c r="T254" s="3222"/>
      <c r="U254" s="3222"/>
      <c r="V254" s="3222"/>
      <c r="W254" s="3222"/>
      <c r="X254" s="3222"/>
      <c r="Y254" s="3531"/>
    </row>
    <row r="255" spans="1:25" s="3354" customFormat="1" ht="12.75" customHeight="1">
      <c r="A255" s="3221"/>
      <c r="B255" s="3222"/>
      <c r="C255" s="3222"/>
      <c r="D255" s="3222"/>
      <c r="E255" s="3222"/>
      <c r="F255" s="3222"/>
      <c r="G255" s="3222"/>
      <c r="H255" s="3222"/>
      <c r="I255" s="3222"/>
      <c r="J255" s="3222"/>
      <c r="K255" s="3222"/>
      <c r="L255" s="3222"/>
      <c r="M255" s="3222"/>
      <c r="N255" s="3222"/>
      <c r="O255" s="3222"/>
      <c r="P255" s="3222"/>
      <c r="Q255" s="3222"/>
      <c r="R255" s="3222"/>
      <c r="S255" s="3222"/>
      <c r="T255" s="3222"/>
      <c r="U255" s="3222"/>
      <c r="V255" s="3222"/>
      <c r="W255" s="3222"/>
      <c r="X255" s="3222"/>
      <c r="Y255" s="3531"/>
    </row>
    <row r="256" spans="1:25" s="3354" customFormat="1" ht="12.75" customHeight="1">
      <c r="A256" s="3221"/>
      <c r="B256" s="3222"/>
      <c r="C256" s="3222"/>
      <c r="D256" s="3222"/>
      <c r="E256" s="3222"/>
      <c r="F256" s="3222"/>
      <c r="G256" s="3222"/>
      <c r="H256" s="3222"/>
      <c r="I256" s="3222"/>
      <c r="J256" s="3222"/>
      <c r="K256" s="3222"/>
      <c r="L256" s="3222"/>
      <c r="M256" s="3222"/>
      <c r="N256" s="3222"/>
      <c r="O256" s="3222"/>
      <c r="P256" s="3222"/>
      <c r="Q256" s="3222"/>
      <c r="R256" s="3222"/>
      <c r="S256" s="3222"/>
      <c r="T256" s="3222"/>
      <c r="U256" s="3222"/>
      <c r="V256" s="3222"/>
      <c r="W256" s="3222"/>
      <c r="X256" s="3222"/>
      <c r="Y256" s="3531"/>
    </row>
    <row r="257" spans="1:25" s="3354" customFormat="1">
      <c r="A257" s="3221"/>
      <c r="B257" s="3222"/>
      <c r="C257" s="3222"/>
      <c r="D257" s="3222"/>
      <c r="E257" s="3222"/>
      <c r="F257" s="3222"/>
      <c r="G257" s="3222"/>
      <c r="H257" s="3222"/>
      <c r="I257" s="3222"/>
      <c r="J257" s="3222"/>
      <c r="K257" s="3222"/>
      <c r="L257" s="3222"/>
      <c r="M257" s="3222"/>
      <c r="N257" s="3222"/>
      <c r="O257" s="3222"/>
      <c r="P257" s="3222"/>
      <c r="Q257" s="3222"/>
      <c r="R257" s="3222"/>
      <c r="S257" s="3222"/>
      <c r="T257" s="3222"/>
      <c r="U257" s="3222"/>
      <c r="V257" s="3222"/>
      <c r="W257" s="3222"/>
      <c r="X257" s="3222"/>
      <c r="Y257" s="3531"/>
    </row>
    <row r="258" spans="1:25" s="3354" customFormat="1">
      <c r="A258" s="3221"/>
      <c r="B258" s="3222"/>
      <c r="C258" s="3222"/>
      <c r="D258" s="3222"/>
      <c r="E258" s="3222"/>
      <c r="F258" s="3222"/>
      <c r="G258" s="3222"/>
      <c r="H258" s="3222"/>
      <c r="I258" s="3222"/>
      <c r="J258" s="3222"/>
      <c r="K258" s="3222"/>
      <c r="L258" s="3222"/>
      <c r="M258" s="3222"/>
      <c r="N258" s="3222"/>
      <c r="O258" s="3222"/>
      <c r="P258" s="3222"/>
      <c r="Q258" s="3222"/>
      <c r="R258" s="3222"/>
      <c r="S258" s="3222"/>
      <c r="T258" s="3222"/>
      <c r="U258" s="3222"/>
      <c r="V258" s="3222"/>
      <c r="W258" s="3222"/>
      <c r="X258" s="3222"/>
      <c r="Y258" s="3531"/>
    </row>
    <row r="259" spans="1:25" s="3354" customFormat="1">
      <c r="A259" s="3221"/>
      <c r="B259" s="3222"/>
      <c r="C259" s="3222"/>
      <c r="D259" s="3222"/>
      <c r="E259" s="3222"/>
      <c r="F259" s="3222"/>
      <c r="G259" s="3222"/>
      <c r="H259" s="3222"/>
      <c r="I259" s="3222"/>
      <c r="J259" s="3222"/>
      <c r="K259" s="3222"/>
      <c r="L259" s="3222"/>
      <c r="M259" s="3222"/>
      <c r="N259" s="3222"/>
      <c r="O259" s="3222"/>
      <c r="P259" s="3222"/>
      <c r="Q259" s="3222"/>
      <c r="R259" s="3222"/>
      <c r="S259" s="3222"/>
      <c r="T259" s="3222"/>
      <c r="U259" s="3222"/>
      <c r="V259" s="3222"/>
      <c r="W259" s="3222"/>
      <c r="X259" s="3222"/>
      <c r="Y259" s="3531"/>
    </row>
    <row r="260" spans="1:25" s="3540" customFormat="1" ht="23.25" customHeight="1">
      <c r="A260" s="3221"/>
      <c r="B260" s="3222"/>
      <c r="C260" s="3222"/>
      <c r="D260" s="3222"/>
      <c r="E260" s="3222"/>
      <c r="F260" s="3222"/>
      <c r="G260" s="3222"/>
      <c r="H260" s="3222"/>
      <c r="I260" s="3222"/>
      <c r="J260" s="3222"/>
      <c r="K260" s="3222"/>
      <c r="L260" s="3222"/>
      <c r="M260" s="3222"/>
      <c r="N260" s="3222"/>
      <c r="O260" s="3222"/>
      <c r="P260" s="3222"/>
      <c r="Q260" s="3222"/>
      <c r="R260" s="3222"/>
      <c r="S260" s="3222"/>
      <c r="T260" s="3222"/>
      <c r="U260" s="3222"/>
      <c r="V260" s="3222"/>
      <c r="W260" s="3222"/>
      <c r="X260" s="3222"/>
      <c r="Y260" s="3531"/>
    </row>
    <row r="261" spans="1:25" s="3354" customFormat="1" ht="15" customHeight="1">
      <c r="A261" s="3221"/>
      <c r="B261" s="3222"/>
      <c r="C261" s="3222"/>
      <c r="D261" s="3222"/>
      <c r="E261" s="3222"/>
      <c r="F261" s="3222"/>
      <c r="G261" s="3222"/>
      <c r="H261" s="3222"/>
      <c r="I261" s="3222"/>
      <c r="J261" s="3222"/>
      <c r="K261" s="3222"/>
      <c r="L261" s="3222"/>
      <c r="M261" s="3222"/>
      <c r="N261" s="3222"/>
      <c r="O261" s="3222"/>
      <c r="P261" s="3222"/>
      <c r="Q261" s="3222"/>
      <c r="R261" s="3222"/>
      <c r="S261" s="3222"/>
      <c r="T261" s="3222"/>
      <c r="U261" s="3222"/>
      <c r="V261" s="3222"/>
      <c r="W261" s="3222"/>
      <c r="X261" s="3222"/>
      <c r="Y261" s="3531"/>
    </row>
    <row r="262" spans="1:25" s="3354" customFormat="1" ht="12.75" customHeight="1">
      <c r="A262" s="3221"/>
      <c r="B262" s="3222"/>
      <c r="C262" s="3222"/>
      <c r="D262" s="3222"/>
      <c r="E262" s="3222"/>
      <c r="F262" s="3222"/>
      <c r="G262" s="3222"/>
      <c r="H262" s="3222"/>
      <c r="I262" s="3222"/>
      <c r="J262" s="3222"/>
      <c r="K262" s="3222"/>
      <c r="L262" s="3222"/>
      <c r="M262" s="3222"/>
      <c r="N262" s="3222"/>
      <c r="O262" s="3222"/>
      <c r="P262" s="3222"/>
      <c r="Q262" s="3222"/>
      <c r="R262" s="3222"/>
      <c r="S262" s="3222"/>
      <c r="T262" s="3222"/>
      <c r="U262" s="3222"/>
      <c r="V262" s="3222"/>
      <c r="W262" s="3222"/>
      <c r="X262" s="3222"/>
      <c r="Y262" s="3531"/>
    </row>
    <row r="263" spans="1:25" s="3354" customFormat="1">
      <c r="A263" s="3221"/>
      <c r="B263" s="3222"/>
      <c r="C263" s="3222"/>
      <c r="D263" s="3222"/>
      <c r="E263" s="3222"/>
      <c r="F263" s="3222"/>
      <c r="G263" s="3222"/>
      <c r="H263" s="3222"/>
      <c r="I263" s="3222"/>
      <c r="J263" s="3222"/>
      <c r="K263" s="3222"/>
      <c r="L263" s="3222"/>
      <c r="M263" s="3222"/>
      <c r="N263" s="3222"/>
      <c r="O263" s="3222"/>
      <c r="P263" s="3222"/>
      <c r="Q263" s="3222"/>
      <c r="R263" s="3222"/>
      <c r="S263" s="3222"/>
      <c r="T263" s="3222"/>
      <c r="U263" s="3222"/>
      <c r="V263" s="3222"/>
      <c r="W263" s="3222"/>
      <c r="X263" s="3222"/>
      <c r="Y263" s="3531"/>
    </row>
    <row r="264" spans="1:25" s="3354" customFormat="1">
      <c r="A264" s="3221"/>
      <c r="B264" s="3222"/>
      <c r="C264" s="3222"/>
      <c r="D264" s="3222"/>
      <c r="E264" s="3222"/>
      <c r="F264" s="3222"/>
      <c r="G264" s="3222"/>
      <c r="H264" s="3222"/>
      <c r="I264" s="3222"/>
      <c r="J264" s="3222"/>
      <c r="K264" s="3222"/>
      <c r="L264" s="3222"/>
      <c r="M264" s="3222"/>
      <c r="N264" s="3222"/>
      <c r="O264" s="3222"/>
      <c r="P264" s="3222"/>
      <c r="Q264" s="3222"/>
      <c r="R264" s="3222"/>
      <c r="S264" s="3222"/>
      <c r="T264" s="3222"/>
      <c r="U264" s="3222"/>
      <c r="V264" s="3222"/>
      <c r="W264" s="3222"/>
      <c r="X264" s="3222"/>
      <c r="Y264" s="3531"/>
    </row>
    <row r="265" spans="1:25" s="3540" customFormat="1" ht="12.75" customHeight="1">
      <c r="A265" s="3221"/>
      <c r="B265" s="3222"/>
      <c r="C265" s="3222"/>
      <c r="D265" s="3222"/>
      <c r="E265" s="3222"/>
      <c r="F265" s="3222"/>
      <c r="G265" s="3222"/>
      <c r="H265" s="3222"/>
      <c r="I265" s="3222"/>
      <c r="J265" s="3222"/>
      <c r="K265" s="3222"/>
      <c r="L265" s="3222"/>
      <c r="M265" s="3222"/>
      <c r="N265" s="3222"/>
      <c r="O265" s="3222"/>
      <c r="P265" s="3222"/>
      <c r="Q265" s="3222"/>
      <c r="R265" s="3222"/>
      <c r="S265" s="3222"/>
      <c r="T265" s="3222"/>
      <c r="U265" s="3222"/>
      <c r="V265" s="3222"/>
      <c r="W265" s="3222"/>
      <c r="X265" s="3222"/>
      <c r="Y265" s="3531"/>
    </row>
    <row r="266" spans="1:25" s="3354" customFormat="1" ht="9.75" customHeight="1">
      <c r="A266" s="3221"/>
      <c r="B266" s="3222"/>
      <c r="C266" s="3222"/>
      <c r="D266" s="3222"/>
      <c r="E266" s="3222"/>
      <c r="F266" s="3222"/>
      <c r="G266" s="3222"/>
      <c r="H266" s="3222"/>
      <c r="I266" s="3222"/>
      <c r="J266" s="3222"/>
      <c r="K266" s="3222"/>
      <c r="L266" s="3222"/>
      <c r="M266" s="3222"/>
      <c r="N266" s="3222"/>
      <c r="O266" s="3222"/>
      <c r="P266" s="3222"/>
      <c r="Q266" s="3222"/>
      <c r="R266" s="3222"/>
      <c r="S266" s="3222"/>
      <c r="T266" s="3222"/>
      <c r="U266" s="3222"/>
      <c r="V266" s="3222"/>
      <c r="W266" s="3222"/>
      <c r="X266" s="3222"/>
      <c r="Y266" s="3531"/>
    </row>
    <row r="267" spans="1:25" s="3354" customFormat="1" ht="12.75" customHeight="1">
      <c r="A267" s="3221"/>
      <c r="B267" s="3222"/>
      <c r="C267" s="3222"/>
      <c r="D267" s="3222"/>
      <c r="E267" s="3222"/>
      <c r="F267" s="3222"/>
      <c r="G267" s="3222"/>
      <c r="H267" s="3222"/>
      <c r="I267" s="3222"/>
      <c r="J267" s="3222"/>
      <c r="K267" s="3222"/>
      <c r="L267" s="3222"/>
      <c r="M267" s="3222"/>
      <c r="N267" s="3222"/>
      <c r="O267" s="3222"/>
      <c r="P267" s="3222"/>
      <c r="Q267" s="3222"/>
      <c r="R267" s="3222"/>
      <c r="S267" s="3222"/>
      <c r="T267" s="3222"/>
      <c r="U267" s="3222"/>
      <c r="V267" s="3222"/>
      <c r="W267" s="3222"/>
      <c r="X267" s="3222"/>
      <c r="Y267" s="3531"/>
    </row>
    <row r="268" spans="1:25" s="3354" customFormat="1">
      <c r="A268" s="3221"/>
      <c r="B268" s="3222"/>
      <c r="C268" s="3222"/>
      <c r="D268" s="3222"/>
      <c r="E268" s="3222"/>
      <c r="F268" s="3222"/>
      <c r="G268" s="3222"/>
      <c r="H268" s="3222"/>
      <c r="I268" s="3222"/>
      <c r="J268" s="3222"/>
      <c r="K268" s="3222"/>
      <c r="L268" s="3222"/>
      <c r="M268" s="3222"/>
      <c r="N268" s="3222"/>
      <c r="O268" s="3222"/>
      <c r="P268" s="3222"/>
      <c r="Q268" s="3222"/>
      <c r="R268" s="3222"/>
      <c r="S268" s="3222"/>
      <c r="T268" s="3222"/>
      <c r="U268" s="3222"/>
      <c r="V268" s="3222"/>
      <c r="W268" s="3222"/>
      <c r="X268" s="3222"/>
      <c r="Y268" s="3531"/>
    </row>
    <row r="269" spans="1:25" s="3354" customFormat="1">
      <c r="A269" s="3221"/>
      <c r="B269" s="3222"/>
      <c r="C269" s="3222"/>
      <c r="D269" s="3222"/>
      <c r="E269" s="3222"/>
      <c r="F269" s="3222"/>
      <c r="G269" s="3222"/>
      <c r="H269" s="3222"/>
      <c r="I269" s="3222"/>
      <c r="J269" s="3222"/>
      <c r="K269" s="3222"/>
      <c r="L269" s="3222"/>
      <c r="M269" s="3222"/>
      <c r="N269" s="3222"/>
      <c r="O269" s="3222"/>
      <c r="P269" s="3222"/>
      <c r="Q269" s="3222"/>
      <c r="R269" s="3222"/>
      <c r="S269" s="3222"/>
      <c r="T269" s="3222"/>
      <c r="U269" s="3222"/>
      <c r="V269" s="3222"/>
      <c r="W269" s="3222"/>
      <c r="X269" s="3222"/>
      <c r="Y269" s="3531"/>
    </row>
    <row r="270" spans="1:25" s="3530" customFormat="1" ht="24" customHeight="1">
      <c r="A270" s="3221"/>
      <c r="B270" s="3222"/>
      <c r="C270" s="3222"/>
      <c r="D270" s="3222"/>
      <c r="E270" s="3222"/>
      <c r="F270" s="3222"/>
      <c r="G270" s="3222"/>
      <c r="H270" s="3222"/>
      <c r="I270" s="3222"/>
      <c r="J270" s="3222"/>
      <c r="K270" s="3222"/>
      <c r="L270" s="3222"/>
      <c r="M270" s="3222"/>
      <c r="N270" s="3222"/>
      <c r="O270" s="3222"/>
      <c r="P270" s="3222"/>
      <c r="Q270" s="3222"/>
      <c r="R270" s="3222"/>
      <c r="S270" s="3222"/>
      <c r="T270" s="3222"/>
      <c r="U270" s="3222"/>
      <c r="V270" s="3222"/>
      <c r="W270" s="3222"/>
      <c r="X270" s="3222"/>
      <c r="Y270" s="3531"/>
    </row>
    <row r="271" spans="1:25" s="3354" customFormat="1" ht="11.25" customHeight="1">
      <c r="A271" s="3221"/>
      <c r="B271" s="3222"/>
      <c r="C271" s="3222"/>
      <c r="D271" s="3222"/>
      <c r="E271" s="3222"/>
      <c r="F271" s="3222"/>
      <c r="G271" s="3222"/>
      <c r="H271" s="3222"/>
      <c r="I271" s="3222"/>
      <c r="J271" s="3222"/>
      <c r="K271" s="3222"/>
      <c r="L271" s="3222"/>
      <c r="M271" s="3222"/>
      <c r="N271" s="3222"/>
      <c r="O271" s="3222"/>
      <c r="P271" s="3222"/>
      <c r="Q271" s="3222"/>
      <c r="R271" s="3222"/>
      <c r="S271" s="3222"/>
      <c r="T271" s="3222"/>
      <c r="U271" s="3222"/>
      <c r="V271" s="3222"/>
      <c r="W271" s="3222"/>
      <c r="X271" s="3222"/>
      <c r="Y271" s="3531"/>
    </row>
    <row r="272" spans="1:25" s="3354" customFormat="1" ht="12.75" customHeight="1">
      <c r="A272" s="3221"/>
      <c r="B272" s="3222"/>
      <c r="C272" s="3222"/>
      <c r="D272" s="3222"/>
      <c r="E272" s="3222"/>
      <c r="F272" s="3222"/>
      <c r="G272" s="3222"/>
      <c r="H272" s="3222"/>
      <c r="I272" s="3222"/>
      <c r="J272" s="3222"/>
      <c r="K272" s="3222"/>
      <c r="L272" s="3222"/>
      <c r="M272" s="3222"/>
      <c r="N272" s="3222"/>
      <c r="O272" s="3222"/>
      <c r="P272" s="3222"/>
      <c r="Q272" s="3222"/>
      <c r="R272" s="3222"/>
      <c r="S272" s="3222"/>
      <c r="T272" s="3222"/>
      <c r="U272" s="3222"/>
      <c r="V272" s="3222"/>
      <c r="W272" s="3222"/>
      <c r="X272" s="3222"/>
      <c r="Y272" s="3531"/>
    </row>
    <row r="273" spans="1:25" s="3354" customFormat="1">
      <c r="A273" s="3221"/>
      <c r="B273" s="3222"/>
      <c r="C273" s="3222"/>
      <c r="D273" s="3222"/>
      <c r="E273" s="3222"/>
      <c r="F273" s="3222"/>
      <c r="G273" s="3222"/>
      <c r="H273" s="3222"/>
      <c r="I273" s="3222"/>
      <c r="J273" s="3222"/>
      <c r="K273" s="3222"/>
      <c r="L273" s="3222"/>
      <c r="M273" s="3222"/>
      <c r="N273" s="3222"/>
      <c r="O273" s="3222"/>
      <c r="P273" s="3222"/>
      <c r="Q273" s="3222"/>
      <c r="R273" s="3222"/>
      <c r="S273" s="3222"/>
      <c r="T273" s="3222"/>
      <c r="U273" s="3222"/>
      <c r="V273" s="3222"/>
      <c r="W273" s="3222"/>
      <c r="X273" s="3222"/>
      <c r="Y273" s="3531"/>
    </row>
    <row r="274" spans="1:25" s="3354" customFormat="1">
      <c r="A274" s="3221"/>
      <c r="B274" s="3222"/>
      <c r="C274" s="3222"/>
      <c r="D274" s="3222"/>
      <c r="E274" s="3222"/>
      <c r="F274" s="3222"/>
      <c r="G274" s="3222"/>
      <c r="H274" s="3222"/>
      <c r="I274" s="3222"/>
      <c r="J274" s="3222"/>
      <c r="K274" s="3222"/>
      <c r="L274" s="3222"/>
      <c r="M274" s="3222"/>
      <c r="N274" s="3222"/>
      <c r="O274" s="3222"/>
      <c r="P274" s="3222"/>
      <c r="Q274" s="3222"/>
      <c r="R274" s="3222"/>
      <c r="S274" s="3222"/>
      <c r="T274" s="3222"/>
      <c r="U274" s="3222"/>
      <c r="V274" s="3222"/>
      <c r="W274" s="3222"/>
      <c r="X274" s="3222"/>
      <c r="Y274" s="3531"/>
    </row>
    <row r="275" spans="1:25" s="3354" customFormat="1">
      <c r="A275" s="3221"/>
      <c r="B275" s="3222"/>
      <c r="C275" s="3222"/>
      <c r="D275" s="3222"/>
      <c r="E275" s="3222"/>
      <c r="F275" s="3222"/>
      <c r="G275" s="3222"/>
      <c r="H275" s="3222"/>
      <c r="I275" s="3222"/>
      <c r="J275" s="3222"/>
      <c r="K275" s="3222"/>
      <c r="L275" s="3222"/>
      <c r="M275" s="3222"/>
      <c r="N275" s="3222"/>
      <c r="O275" s="3222"/>
      <c r="P275" s="3222"/>
      <c r="Q275" s="3222"/>
      <c r="R275" s="3222"/>
      <c r="S275" s="3222"/>
      <c r="T275" s="3222"/>
      <c r="U275" s="3222"/>
      <c r="V275" s="3222"/>
      <c r="W275" s="3222"/>
      <c r="X275" s="3222"/>
      <c r="Y275" s="3531"/>
    </row>
    <row r="276" spans="1:25" s="3354" customFormat="1">
      <c r="A276" s="3221"/>
      <c r="B276" s="3222"/>
      <c r="C276" s="3222"/>
      <c r="D276" s="3222"/>
      <c r="E276" s="3222"/>
      <c r="F276" s="3222"/>
      <c r="G276" s="3222"/>
      <c r="H276" s="3222"/>
      <c r="I276" s="3222"/>
      <c r="J276" s="3222"/>
      <c r="K276" s="3222"/>
      <c r="L276" s="3222"/>
      <c r="M276" s="3222"/>
      <c r="N276" s="3222"/>
      <c r="O276" s="3222"/>
      <c r="P276" s="3222"/>
      <c r="Q276" s="3222"/>
      <c r="R276" s="3222"/>
      <c r="S276" s="3222"/>
      <c r="T276" s="3222"/>
      <c r="U276" s="3222"/>
      <c r="V276" s="3222"/>
      <c r="W276" s="3222"/>
      <c r="X276" s="3222"/>
      <c r="Y276" s="3531"/>
    </row>
    <row r="277" spans="1:25" s="3354" customFormat="1" ht="12" customHeight="1">
      <c r="A277" s="3221"/>
      <c r="B277" s="3222"/>
      <c r="C277" s="3222"/>
      <c r="D277" s="3222"/>
      <c r="E277" s="3222"/>
      <c r="F277" s="3222"/>
      <c r="G277" s="3222"/>
      <c r="H277" s="3222"/>
      <c r="I277" s="3222"/>
      <c r="J277" s="3222"/>
      <c r="K277" s="3222"/>
      <c r="L277" s="3222"/>
      <c r="M277" s="3222"/>
      <c r="N277" s="3222"/>
      <c r="O277" s="3222"/>
      <c r="P277" s="3222"/>
      <c r="Q277" s="3222"/>
      <c r="R277" s="3222"/>
      <c r="S277" s="3222"/>
      <c r="T277" s="3222"/>
      <c r="U277" s="3222"/>
      <c r="V277" s="3222"/>
      <c r="W277" s="3222"/>
      <c r="X277" s="3222"/>
      <c r="Y277" s="3531"/>
    </row>
    <row r="278" spans="1:25" s="3354" customFormat="1" ht="10.5" customHeight="1">
      <c r="A278" s="3221"/>
      <c r="B278" s="3222"/>
      <c r="C278" s="3222"/>
      <c r="D278" s="3222"/>
      <c r="E278" s="3222"/>
      <c r="F278" s="3222"/>
      <c r="G278" s="3222"/>
      <c r="H278" s="3222"/>
      <c r="I278" s="3222"/>
      <c r="J278" s="3222"/>
      <c r="K278" s="3222"/>
      <c r="L278" s="3222"/>
      <c r="M278" s="3222"/>
      <c r="N278" s="3222"/>
      <c r="O278" s="3222"/>
      <c r="P278" s="3222"/>
      <c r="Q278" s="3222"/>
      <c r="R278" s="3222"/>
      <c r="S278" s="3222"/>
      <c r="T278" s="3222"/>
      <c r="U278" s="3222"/>
      <c r="V278" s="3222"/>
      <c r="W278" s="3222"/>
      <c r="X278" s="3222"/>
      <c r="Y278" s="3531"/>
    </row>
    <row r="279" spans="1:25" s="3354" customFormat="1">
      <c r="A279" s="3221"/>
      <c r="B279" s="3222"/>
      <c r="C279" s="3222"/>
      <c r="D279" s="3222"/>
      <c r="E279" s="3222"/>
      <c r="F279" s="3222"/>
      <c r="G279" s="3222"/>
      <c r="H279" s="3222"/>
      <c r="I279" s="3222"/>
      <c r="J279" s="3222"/>
      <c r="K279" s="3222"/>
      <c r="L279" s="3222"/>
      <c r="M279" s="3222"/>
      <c r="N279" s="3222"/>
      <c r="O279" s="3222"/>
      <c r="P279" s="3222"/>
      <c r="Q279" s="3222"/>
      <c r="R279" s="3222"/>
      <c r="S279" s="3222"/>
      <c r="T279" s="3222"/>
      <c r="U279" s="3222"/>
      <c r="V279" s="3222"/>
      <c r="W279" s="3222"/>
      <c r="X279" s="3222"/>
      <c r="Y279" s="3531"/>
    </row>
    <row r="280" spans="1:25" s="3354" customFormat="1">
      <c r="A280" s="3221"/>
      <c r="B280" s="3222"/>
      <c r="C280" s="3222"/>
      <c r="D280" s="3222"/>
      <c r="E280" s="3222"/>
      <c r="F280" s="3222"/>
      <c r="G280" s="3222"/>
      <c r="H280" s="3222"/>
      <c r="I280" s="3222"/>
      <c r="J280" s="3222"/>
      <c r="K280" s="3222"/>
      <c r="L280" s="3222"/>
      <c r="M280" s="3222"/>
      <c r="N280" s="3222"/>
      <c r="O280" s="3222"/>
      <c r="P280" s="3222"/>
      <c r="Q280" s="3222"/>
      <c r="R280" s="3222"/>
      <c r="S280" s="3222"/>
      <c r="T280" s="3222"/>
      <c r="U280" s="3222"/>
      <c r="V280" s="3222"/>
      <c r="W280" s="3222"/>
      <c r="X280" s="3222"/>
      <c r="Y280" s="3531"/>
    </row>
    <row r="281" spans="1:25" s="3354" customFormat="1">
      <c r="A281" s="3221"/>
      <c r="B281" s="3222"/>
      <c r="C281" s="3222"/>
      <c r="D281" s="3222"/>
      <c r="E281" s="3222"/>
      <c r="F281" s="3222"/>
      <c r="G281" s="3222"/>
      <c r="H281" s="3222"/>
      <c r="I281" s="3222"/>
      <c r="J281" s="3222"/>
      <c r="K281" s="3222"/>
      <c r="L281" s="3222"/>
      <c r="M281" s="3222"/>
      <c r="N281" s="3222"/>
      <c r="O281" s="3222"/>
      <c r="P281" s="3222"/>
      <c r="Q281" s="3222"/>
      <c r="R281" s="3222"/>
      <c r="S281" s="3222"/>
      <c r="T281" s="3222"/>
      <c r="U281" s="3222"/>
      <c r="V281" s="3222"/>
      <c r="W281" s="3222"/>
      <c r="X281" s="3222"/>
      <c r="Y281" s="3531"/>
    </row>
    <row r="282" spans="1:25" s="3354" customFormat="1">
      <c r="A282" s="3221"/>
      <c r="B282" s="3222"/>
      <c r="C282" s="3222"/>
      <c r="D282" s="3222"/>
      <c r="E282" s="3222"/>
      <c r="F282" s="3222"/>
      <c r="G282" s="3222"/>
      <c r="H282" s="3222"/>
      <c r="I282" s="3222"/>
      <c r="J282" s="3222"/>
      <c r="K282" s="3222"/>
      <c r="L282" s="3222"/>
      <c r="M282" s="3222"/>
      <c r="N282" s="3222"/>
      <c r="O282" s="3222"/>
      <c r="P282" s="3222"/>
      <c r="Q282" s="3222"/>
      <c r="R282" s="3222"/>
      <c r="S282" s="3222"/>
      <c r="T282" s="3222"/>
      <c r="U282" s="3222"/>
      <c r="V282" s="3222"/>
      <c r="W282" s="3222"/>
      <c r="X282" s="3222"/>
      <c r="Y282" s="3531"/>
    </row>
    <row r="283" spans="1:25" s="3354" customFormat="1">
      <c r="A283" s="3221"/>
      <c r="B283" s="3222"/>
      <c r="C283" s="3222"/>
      <c r="D283" s="3222"/>
      <c r="E283" s="3222"/>
      <c r="F283" s="3222"/>
      <c r="G283" s="3222"/>
      <c r="H283" s="3222"/>
      <c r="I283" s="3222"/>
      <c r="J283" s="3222"/>
      <c r="K283" s="3222"/>
      <c r="L283" s="3222"/>
      <c r="M283" s="3222"/>
      <c r="N283" s="3222"/>
      <c r="O283" s="3222"/>
      <c r="P283" s="3222"/>
      <c r="Q283" s="3222"/>
      <c r="R283" s="3222"/>
      <c r="S283" s="3222"/>
      <c r="T283" s="3222"/>
      <c r="U283" s="3222"/>
      <c r="V283" s="3222"/>
      <c r="W283" s="3222"/>
      <c r="X283" s="3222"/>
      <c r="Y283" s="3531"/>
    </row>
    <row r="284" spans="1:25" s="3354" customFormat="1" ht="32.25" customHeight="1">
      <c r="A284" s="3221"/>
      <c r="B284" s="3222"/>
      <c r="C284" s="3222"/>
      <c r="D284" s="3222"/>
      <c r="E284" s="3222"/>
      <c r="F284" s="3222"/>
      <c r="G284" s="3222"/>
      <c r="H284" s="3222"/>
      <c r="I284" s="3222"/>
      <c r="J284" s="3222"/>
      <c r="K284" s="3222"/>
      <c r="L284" s="3222"/>
      <c r="M284" s="3222"/>
      <c r="N284" s="3222"/>
      <c r="O284" s="3222"/>
      <c r="P284" s="3222"/>
      <c r="Q284" s="3222"/>
      <c r="R284" s="3222"/>
      <c r="S284" s="3222"/>
      <c r="T284" s="3222"/>
      <c r="U284" s="3222"/>
      <c r="V284" s="3222"/>
      <c r="W284" s="3222"/>
      <c r="X284" s="3222"/>
      <c r="Y284" s="3531"/>
    </row>
    <row r="285" spans="1:25" s="3354" customFormat="1" ht="15" customHeight="1">
      <c r="A285" s="3221"/>
      <c r="B285" s="3222"/>
      <c r="C285" s="3222"/>
      <c r="D285" s="3222"/>
      <c r="E285" s="3222"/>
      <c r="F285" s="3222"/>
      <c r="G285" s="3222"/>
      <c r="H285" s="3222"/>
      <c r="I285" s="3222"/>
      <c r="J285" s="3222"/>
      <c r="K285" s="3222"/>
      <c r="L285" s="3222"/>
      <c r="M285" s="3222"/>
      <c r="N285" s="3222"/>
      <c r="O285" s="3222"/>
      <c r="P285" s="3222"/>
      <c r="Q285" s="3222"/>
      <c r="R285" s="3222"/>
      <c r="S285" s="3222"/>
      <c r="T285" s="3222"/>
      <c r="U285" s="3222"/>
      <c r="V285" s="3222"/>
      <c r="W285" s="3222"/>
      <c r="X285" s="3222"/>
      <c r="Y285" s="3531"/>
    </row>
    <row r="286" spans="1:25" s="3354" customFormat="1" ht="12.75" customHeight="1">
      <c r="A286" s="3221"/>
      <c r="B286" s="3222"/>
      <c r="C286" s="3222"/>
      <c r="D286" s="3222"/>
      <c r="E286" s="3222"/>
      <c r="F286" s="3222"/>
      <c r="G286" s="3222"/>
      <c r="H286" s="3222"/>
      <c r="I286" s="3222"/>
      <c r="J286" s="3222"/>
      <c r="K286" s="3222"/>
      <c r="L286" s="3222"/>
      <c r="M286" s="3222"/>
      <c r="N286" s="3222"/>
      <c r="O286" s="3222"/>
      <c r="P286" s="3222"/>
      <c r="Q286" s="3222"/>
      <c r="R286" s="3222"/>
      <c r="S286" s="3222"/>
      <c r="T286" s="3222"/>
      <c r="U286" s="3222"/>
      <c r="V286" s="3222"/>
      <c r="W286" s="3222"/>
      <c r="X286" s="3222"/>
      <c r="Y286" s="3531"/>
    </row>
    <row r="287" spans="1:25" s="3354" customFormat="1">
      <c r="A287" s="3221"/>
      <c r="B287" s="3222"/>
      <c r="C287" s="3222"/>
      <c r="D287" s="3222"/>
      <c r="E287" s="3222"/>
      <c r="F287" s="3222"/>
      <c r="G287" s="3222"/>
      <c r="H287" s="3222"/>
      <c r="I287" s="3222"/>
      <c r="J287" s="3222"/>
      <c r="K287" s="3222"/>
      <c r="L287" s="3222"/>
      <c r="M287" s="3222"/>
      <c r="N287" s="3222"/>
      <c r="O287" s="3222"/>
      <c r="P287" s="3222"/>
      <c r="Q287" s="3222"/>
      <c r="R287" s="3222"/>
      <c r="S287" s="3222"/>
      <c r="T287" s="3222"/>
      <c r="U287" s="3222"/>
      <c r="V287" s="3222"/>
      <c r="W287" s="3222"/>
      <c r="X287" s="3222"/>
      <c r="Y287" s="3531"/>
    </row>
    <row r="288" spans="1:25" s="3354" customFormat="1">
      <c r="A288" s="3221"/>
      <c r="B288" s="3222"/>
      <c r="C288" s="3222"/>
      <c r="D288" s="3222"/>
      <c r="E288" s="3222"/>
      <c r="F288" s="3222"/>
      <c r="G288" s="3222"/>
      <c r="H288" s="3222"/>
      <c r="I288" s="3222"/>
      <c r="J288" s="3222"/>
      <c r="K288" s="3222"/>
      <c r="L288" s="3222"/>
      <c r="M288" s="3222"/>
      <c r="N288" s="3222"/>
      <c r="O288" s="3222"/>
      <c r="P288" s="3222"/>
      <c r="Q288" s="3222"/>
      <c r="R288" s="3222"/>
      <c r="S288" s="3222"/>
      <c r="T288" s="3222"/>
      <c r="U288" s="3222"/>
      <c r="V288" s="3222"/>
      <c r="W288" s="3222"/>
      <c r="X288" s="3222"/>
      <c r="Y288" s="3542"/>
    </row>
    <row r="289" spans="1:25" s="3354" customFormat="1">
      <c r="A289" s="3221"/>
      <c r="B289" s="3222"/>
      <c r="C289" s="3222"/>
      <c r="D289" s="3222"/>
      <c r="E289" s="3222"/>
      <c r="F289" s="3222"/>
      <c r="G289" s="3222"/>
      <c r="H289" s="3222"/>
      <c r="I289" s="3222"/>
      <c r="J289" s="3222"/>
      <c r="K289" s="3222"/>
      <c r="L289" s="3222"/>
      <c r="M289" s="3222"/>
      <c r="N289" s="3222"/>
      <c r="O289" s="3222"/>
      <c r="P289" s="3222"/>
      <c r="Q289" s="3222"/>
      <c r="R289" s="3222"/>
      <c r="S289" s="3222"/>
      <c r="T289" s="3222"/>
      <c r="U289" s="3222"/>
      <c r="V289" s="3222"/>
      <c r="W289" s="3222"/>
      <c r="X289" s="3222"/>
      <c r="Y289" s="3542"/>
    </row>
    <row r="290" spans="1:25" s="3354" customFormat="1" ht="21.75" customHeight="1">
      <c r="A290" s="3221"/>
      <c r="B290" s="3222"/>
      <c r="C290" s="3222"/>
      <c r="D290" s="3222"/>
      <c r="E290" s="3222"/>
      <c r="F290" s="3222"/>
      <c r="G290" s="3222"/>
      <c r="H290" s="3222"/>
      <c r="I290" s="3222"/>
      <c r="J290" s="3222"/>
      <c r="K290" s="3222"/>
      <c r="L290" s="3222"/>
      <c r="M290" s="3222"/>
      <c r="N290" s="3222"/>
      <c r="O290" s="3222"/>
      <c r="P290" s="3222"/>
      <c r="Q290" s="3222"/>
      <c r="R290" s="3222"/>
      <c r="S290" s="3222"/>
      <c r="T290" s="3222"/>
      <c r="U290" s="3222"/>
      <c r="V290" s="3222"/>
      <c r="W290" s="3222"/>
      <c r="X290" s="3222"/>
      <c r="Y290" s="3542"/>
    </row>
    <row r="291" spans="1:25" s="3354" customFormat="1" ht="12.75" customHeight="1">
      <c r="A291" s="3221"/>
      <c r="B291" s="3222"/>
      <c r="C291" s="3222"/>
      <c r="D291" s="3222"/>
      <c r="E291" s="3222"/>
      <c r="F291" s="3222"/>
      <c r="G291" s="3222"/>
      <c r="H291" s="3222"/>
      <c r="I291" s="3222"/>
      <c r="J291" s="3222"/>
      <c r="K291" s="3222"/>
      <c r="L291" s="3222"/>
      <c r="M291" s="3222"/>
      <c r="N291" s="3222"/>
      <c r="O291" s="3222"/>
      <c r="P291" s="3222"/>
      <c r="Q291" s="3222"/>
      <c r="R291" s="3222"/>
      <c r="S291" s="3222"/>
      <c r="T291" s="3222"/>
      <c r="U291" s="3222"/>
      <c r="V291" s="3222"/>
      <c r="W291" s="3222"/>
      <c r="X291" s="3222"/>
      <c r="Y291" s="3542"/>
    </row>
    <row r="292" spans="1:25" s="3354" customFormat="1" ht="12.75" customHeight="1">
      <c r="A292" s="3221"/>
      <c r="B292" s="3222"/>
      <c r="C292" s="3222"/>
      <c r="D292" s="3222"/>
      <c r="E292" s="3222"/>
      <c r="F292" s="3222"/>
      <c r="G292" s="3222"/>
      <c r="H292" s="3222"/>
      <c r="I292" s="3222"/>
      <c r="J292" s="3222"/>
      <c r="K292" s="3222"/>
      <c r="L292" s="3222"/>
      <c r="M292" s="3222"/>
      <c r="N292" s="3222"/>
      <c r="O292" s="3222"/>
      <c r="P292" s="3222"/>
      <c r="Q292" s="3222"/>
      <c r="R292" s="3222"/>
      <c r="S292" s="3222"/>
      <c r="T292" s="3222"/>
      <c r="U292" s="3222"/>
      <c r="V292" s="3222"/>
      <c r="W292" s="3222"/>
      <c r="X292" s="3222"/>
      <c r="Y292" s="3542"/>
    </row>
    <row r="293" spans="1:25" s="3354" customFormat="1">
      <c r="A293" s="3221"/>
      <c r="B293" s="3222"/>
      <c r="C293" s="3222"/>
      <c r="D293" s="3222"/>
      <c r="E293" s="3222"/>
      <c r="F293" s="3222"/>
      <c r="G293" s="3222"/>
      <c r="H293" s="3222"/>
      <c r="I293" s="3222"/>
      <c r="J293" s="3222"/>
      <c r="K293" s="3222"/>
      <c r="L293" s="3222"/>
      <c r="M293" s="3222"/>
      <c r="N293" s="3222"/>
      <c r="O293" s="3222"/>
      <c r="P293" s="3222"/>
      <c r="Q293" s="3222"/>
      <c r="R293" s="3222"/>
      <c r="S293" s="3222"/>
      <c r="T293" s="3222"/>
      <c r="U293" s="3222"/>
      <c r="V293" s="3222"/>
      <c r="W293" s="3222"/>
      <c r="X293" s="3222"/>
      <c r="Y293" s="3542"/>
    </row>
    <row r="294" spans="1:25" s="3354" customFormat="1">
      <c r="A294" s="3221"/>
      <c r="B294" s="3222"/>
      <c r="C294" s="3222"/>
      <c r="D294" s="3222"/>
      <c r="E294" s="3222"/>
      <c r="F294" s="3222"/>
      <c r="G294" s="3222"/>
      <c r="H294" s="3222"/>
      <c r="I294" s="3222"/>
      <c r="J294" s="3222"/>
      <c r="K294" s="3222"/>
      <c r="L294" s="3222"/>
      <c r="M294" s="3222"/>
      <c r="N294" s="3222"/>
      <c r="O294" s="3222"/>
      <c r="P294" s="3222"/>
      <c r="Q294" s="3222"/>
      <c r="R294" s="3222"/>
      <c r="S294" s="3222"/>
      <c r="T294" s="3222"/>
      <c r="U294" s="3222"/>
      <c r="V294" s="3222"/>
      <c r="W294" s="3222"/>
      <c r="X294" s="3222"/>
      <c r="Y294" s="3542"/>
    </row>
    <row r="295" spans="1:25" s="3354" customFormat="1">
      <c r="A295" s="3221"/>
      <c r="B295" s="3222"/>
      <c r="C295" s="3222"/>
      <c r="D295" s="3222"/>
      <c r="E295" s="3222"/>
      <c r="F295" s="3222"/>
      <c r="G295" s="3222"/>
      <c r="H295" s="3222"/>
      <c r="I295" s="3222"/>
      <c r="J295" s="3222"/>
      <c r="K295" s="3222"/>
      <c r="L295" s="3222"/>
      <c r="M295" s="3222"/>
      <c r="N295" s="3222"/>
      <c r="O295" s="3222"/>
      <c r="P295" s="3222"/>
      <c r="Q295" s="3222"/>
      <c r="R295" s="3222"/>
      <c r="S295" s="3222"/>
      <c r="T295" s="3222"/>
      <c r="U295" s="3222"/>
      <c r="V295" s="3222"/>
      <c r="W295" s="3222"/>
      <c r="X295" s="3222"/>
      <c r="Y295" s="3542"/>
    </row>
    <row r="296" spans="1:25" s="3354" customFormat="1">
      <c r="A296" s="3221"/>
      <c r="B296" s="3222"/>
      <c r="C296" s="3222"/>
      <c r="D296" s="3222"/>
      <c r="E296" s="3222"/>
      <c r="F296" s="3222"/>
      <c r="G296" s="3222"/>
      <c r="H296" s="3222"/>
      <c r="I296" s="3222"/>
      <c r="J296" s="3222"/>
      <c r="K296" s="3222"/>
      <c r="L296" s="3222"/>
      <c r="M296" s="3222"/>
      <c r="N296" s="3222"/>
      <c r="O296" s="3222"/>
      <c r="P296" s="3222"/>
      <c r="Q296" s="3222"/>
      <c r="R296" s="3222"/>
      <c r="S296" s="3222"/>
      <c r="T296" s="3222"/>
      <c r="U296" s="3222"/>
      <c r="V296" s="3222"/>
      <c r="W296" s="3222"/>
      <c r="X296" s="3222"/>
      <c r="Y296" s="3542"/>
    </row>
    <row r="297" spans="1:25" s="3530" customFormat="1" ht="35.25" customHeight="1">
      <c r="A297" s="3221"/>
      <c r="B297" s="3222"/>
      <c r="C297" s="3222"/>
      <c r="D297" s="3222"/>
      <c r="E297" s="3222"/>
      <c r="F297" s="3222"/>
      <c r="G297" s="3222"/>
      <c r="H297" s="3222"/>
      <c r="I297" s="3222"/>
      <c r="J297" s="3222"/>
      <c r="K297" s="3222"/>
      <c r="L297" s="3222"/>
      <c r="M297" s="3222"/>
      <c r="N297" s="3222"/>
      <c r="O297" s="3222"/>
      <c r="P297" s="3222"/>
      <c r="Q297" s="3222"/>
      <c r="R297" s="3222"/>
      <c r="S297" s="3222"/>
      <c r="T297" s="3222"/>
      <c r="U297" s="3222"/>
      <c r="V297" s="3222"/>
      <c r="W297" s="3222"/>
      <c r="X297" s="3222"/>
      <c r="Y297" s="3542"/>
    </row>
    <row r="298" spans="1:25" s="3354" customFormat="1" ht="11.25" customHeight="1">
      <c r="A298" s="3221"/>
      <c r="B298" s="3222"/>
      <c r="C298" s="3222"/>
      <c r="D298" s="3222"/>
      <c r="E298" s="3222"/>
      <c r="F298" s="3222"/>
      <c r="G298" s="3222"/>
      <c r="H298" s="3222"/>
      <c r="I298" s="3222"/>
      <c r="J298" s="3222"/>
      <c r="K298" s="3222"/>
      <c r="L298" s="3222"/>
      <c r="M298" s="3222"/>
      <c r="N298" s="3222"/>
      <c r="O298" s="3222"/>
      <c r="P298" s="3222"/>
      <c r="Q298" s="3222"/>
      <c r="R298" s="3222"/>
      <c r="S298" s="3222"/>
      <c r="T298" s="3222"/>
      <c r="U298" s="3222"/>
      <c r="V298" s="3222"/>
      <c r="W298" s="3222"/>
      <c r="X298" s="3222"/>
      <c r="Y298" s="3542"/>
    </row>
    <row r="299" spans="1:25" s="3354" customFormat="1" ht="12.75" customHeight="1">
      <c r="A299" s="3221"/>
      <c r="B299" s="3222"/>
      <c r="C299" s="3222"/>
      <c r="D299" s="3222"/>
      <c r="E299" s="3222"/>
      <c r="F299" s="3222"/>
      <c r="G299" s="3222"/>
      <c r="H299" s="3222"/>
      <c r="I299" s="3222"/>
      <c r="J299" s="3222"/>
      <c r="K299" s="3222"/>
      <c r="L299" s="3222"/>
      <c r="M299" s="3222"/>
      <c r="N299" s="3222"/>
      <c r="O299" s="3222"/>
      <c r="P299" s="3222"/>
      <c r="Q299" s="3222"/>
      <c r="R299" s="3222"/>
      <c r="S299" s="3222"/>
      <c r="T299" s="3222"/>
      <c r="U299" s="3222"/>
      <c r="V299" s="3222"/>
      <c r="W299" s="3222"/>
      <c r="X299" s="3222"/>
      <c r="Y299" s="3542"/>
    </row>
    <row r="300" spans="1:25" s="3530" customFormat="1" ht="14.25" customHeight="1">
      <c r="A300" s="3221"/>
      <c r="B300" s="3222"/>
      <c r="C300" s="3222"/>
      <c r="D300" s="3222"/>
      <c r="E300" s="3222"/>
      <c r="F300" s="3222"/>
      <c r="G300" s="3222"/>
      <c r="H300" s="3222"/>
      <c r="I300" s="3222"/>
      <c r="J300" s="3222"/>
      <c r="K300" s="3222"/>
      <c r="L300" s="3222"/>
      <c r="M300" s="3222"/>
      <c r="N300" s="3222"/>
      <c r="O300" s="3222"/>
      <c r="P300" s="3222"/>
      <c r="Q300" s="3222"/>
      <c r="R300" s="3222"/>
      <c r="S300" s="3222"/>
      <c r="T300" s="3222"/>
      <c r="U300" s="3222"/>
      <c r="V300" s="3222"/>
      <c r="W300" s="3222"/>
      <c r="X300" s="3222"/>
      <c r="Y300" s="3542"/>
    </row>
    <row r="301" spans="1:25" s="3354" customFormat="1" ht="11.25" customHeight="1">
      <c r="A301" s="3221"/>
      <c r="B301" s="3222"/>
      <c r="C301" s="3222"/>
      <c r="D301" s="3222"/>
      <c r="E301" s="3222"/>
      <c r="F301" s="3222"/>
      <c r="G301" s="3222"/>
      <c r="H301" s="3222"/>
      <c r="I301" s="3222"/>
      <c r="J301" s="3222"/>
      <c r="K301" s="3222"/>
      <c r="L301" s="3222"/>
      <c r="M301" s="3222"/>
      <c r="N301" s="3222"/>
      <c r="O301" s="3222"/>
      <c r="P301" s="3222"/>
      <c r="Q301" s="3222"/>
      <c r="R301" s="3222"/>
      <c r="S301" s="3222"/>
      <c r="T301" s="3222"/>
      <c r="U301" s="3222"/>
      <c r="V301" s="3222"/>
      <c r="W301" s="3222"/>
      <c r="X301" s="3222"/>
      <c r="Y301" s="3542"/>
    </row>
    <row r="302" spans="1:25" s="3354" customFormat="1" ht="12.75" customHeight="1">
      <c r="A302" s="3221"/>
      <c r="B302" s="3222"/>
      <c r="C302" s="3222"/>
      <c r="D302" s="3222"/>
      <c r="E302" s="3222"/>
      <c r="F302" s="3222"/>
      <c r="G302" s="3222"/>
      <c r="H302" s="3222"/>
      <c r="I302" s="3222"/>
      <c r="J302" s="3222"/>
      <c r="K302" s="3222"/>
      <c r="L302" s="3222"/>
      <c r="M302" s="3222"/>
      <c r="N302" s="3222"/>
      <c r="O302" s="3222"/>
      <c r="P302" s="3222"/>
      <c r="Q302" s="3222"/>
      <c r="R302" s="3222"/>
      <c r="S302" s="3222"/>
      <c r="T302" s="3222"/>
      <c r="U302" s="3222"/>
      <c r="V302" s="3222"/>
      <c r="W302" s="3222"/>
      <c r="X302" s="3222"/>
      <c r="Y302" s="3542"/>
    </row>
    <row r="303" spans="1:25" s="3530" customFormat="1" ht="23.25" customHeight="1">
      <c r="A303" s="3221"/>
      <c r="B303" s="3222"/>
      <c r="C303" s="3222"/>
      <c r="D303" s="3222"/>
      <c r="E303" s="3222"/>
      <c r="F303" s="3222"/>
      <c r="G303" s="3222"/>
      <c r="H303" s="3222"/>
      <c r="I303" s="3222"/>
      <c r="J303" s="3222"/>
      <c r="K303" s="3222"/>
      <c r="L303" s="3222"/>
      <c r="M303" s="3222"/>
      <c r="N303" s="3222"/>
      <c r="O303" s="3222"/>
      <c r="P303" s="3222"/>
      <c r="Q303" s="3222"/>
      <c r="R303" s="3222"/>
      <c r="S303" s="3222"/>
      <c r="T303" s="3222"/>
      <c r="U303" s="3222"/>
      <c r="V303" s="3222"/>
      <c r="W303" s="3222"/>
      <c r="X303" s="3222"/>
      <c r="Y303" s="3542"/>
    </row>
    <row r="304" spans="1:25" s="3354" customFormat="1" ht="11.25" customHeight="1">
      <c r="A304" s="3221"/>
      <c r="B304" s="3222"/>
      <c r="C304" s="3222"/>
      <c r="D304" s="3222"/>
      <c r="E304" s="3222"/>
      <c r="F304" s="3222"/>
      <c r="G304" s="3222"/>
      <c r="H304" s="3222"/>
      <c r="I304" s="3222"/>
      <c r="J304" s="3222"/>
      <c r="K304" s="3222"/>
      <c r="L304" s="3222"/>
      <c r="M304" s="3222"/>
      <c r="N304" s="3222"/>
      <c r="O304" s="3222"/>
      <c r="P304" s="3222"/>
      <c r="Q304" s="3222"/>
      <c r="R304" s="3222"/>
      <c r="S304" s="3222"/>
      <c r="T304" s="3222"/>
      <c r="U304" s="3222"/>
      <c r="V304" s="3222"/>
      <c r="W304" s="3222"/>
      <c r="X304" s="3222"/>
      <c r="Y304" s="3542"/>
    </row>
    <row r="305" spans="1:25" s="3354" customFormat="1">
      <c r="A305" s="3221"/>
      <c r="B305" s="3222"/>
      <c r="C305" s="3222"/>
      <c r="D305" s="3222"/>
      <c r="E305" s="3222"/>
      <c r="F305" s="3222"/>
      <c r="G305" s="3222"/>
      <c r="H305" s="3222"/>
      <c r="I305" s="3222"/>
      <c r="J305" s="3222"/>
      <c r="K305" s="3222"/>
      <c r="L305" s="3222"/>
      <c r="M305" s="3222"/>
      <c r="N305" s="3222"/>
      <c r="O305" s="3222"/>
      <c r="P305" s="3222"/>
      <c r="Q305" s="3222"/>
      <c r="R305" s="3222"/>
      <c r="S305" s="3222"/>
      <c r="T305" s="3222"/>
      <c r="U305" s="3222"/>
      <c r="V305" s="3222"/>
      <c r="W305" s="3222"/>
      <c r="X305" s="3222"/>
      <c r="Y305" s="3542"/>
    </row>
    <row r="306" spans="1:25" s="3354" customFormat="1">
      <c r="A306" s="3221"/>
      <c r="B306" s="3222"/>
      <c r="C306" s="3222"/>
      <c r="D306" s="3222"/>
      <c r="E306" s="3222"/>
      <c r="F306" s="3222"/>
      <c r="G306" s="3222"/>
      <c r="H306" s="3222"/>
      <c r="I306" s="3222"/>
      <c r="J306" s="3222"/>
      <c r="K306" s="3222"/>
      <c r="L306" s="3222"/>
      <c r="M306" s="3222"/>
      <c r="N306" s="3222"/>
      <c r="O306" s="3222"/>
      <c r="P306" s="3222"/>
      <c r="Q306" s="3222"/>
      <c r="R306" s="3222"/>
      <c r="S306" s="3222"/>
      <c r="T306" s="3222"/>
      <c r="U306" s="3222"/>
      <c r="V306" s="3222"/>
      <c r="W306" s="3222"/>
      <c r="X306" s="3222"/>
      <c r="Y306" s="3542"/>
    </row>
    <row r="307" spans="1:25" s="3530" customFormat="1" ht="23.25" customHeight="1">
      <c r="A307" s="3221"/>
      <c r="B307" s="3222"/>
      <c r="C307" s="3222"/>
      <c r="D307" s="3222"/>
      <c r="E307" s="3222"/>
      <c r="F307" s="3222"/>
      <c r="G307" s="3222"/>
      <c r="H307" s="3222"/>
      <c r="I307" s="3222"/>
      <c r="J307" s="3222"/>
      <c r="K307" s="3222"/>
      <c r="L307" s="3222"/>
      <c r="M307" s="3222"/>
      <c r="N307" s="3222"/>
      <c r="O307" s="3222"/>
      <c r="P307" s="3222"/>
      <c r="Q307" s="3222"/>
      <c r="R307" s="3222"/>
      <c r="S307" s="3222"/>
      <c r="T307" s="3222"/>
      <c r="U307" s="3222"/>
      <c r="V307" s="3222"/>
      <c r="W307" s="3222"/>
      <c r="X307" s="3222"/>
      <c r="Y307" s="3542"/>
    </row>
    <row r="308" spans="1:25" s="3354" customFormat="1" ht="11.25" customHeight="1">
      <c r="A308" s="3221"/>
      <c r="B308" s="3222"/>
      <c r="C308" s="3222"/>
      <c r="D308" s="3222"/>
      <c r="E308" s="3222"/>
      <c r="F308" s="3222"/>
      <c r="G308" s="3222"/>
      <c r="H308" s="3222"/>
      <c r="I308" s="3222"/>
      <c r="J308" s="3222"/>
      <c r="K308" s="3222"/>
      <c r="L308" s="3222"/>
      <c r="M308" s="3222"/>
      <c r="N308" s="3222"/>
      <c r="O308" s="3222"/>
      <c r="P308" s="3222"/>
      <c r="Q308" s="3222"/>
      <c r="R308" s="3222"/>
      <c r="S308" s="3222"/>
      <c r="T308" s="3222"/>
      <c r="U308" s="3222"/>
      <c r="V308" s="3222"/>
      <c r="W308" s="3222"/>
      <c r="X308" s="3222"/>
      <c r="Y308" s="3542"/>
    </row>
    <row r="309" spans="1:25" s="3354" customFormat="1">
      <c r="A309" s="3221"/>
      <c r="B309" s="3222"/>
      <c r="C309" s="3222"/>
      <c r="D309" s="3222"/>
      <c r="E309" s="3222"/>
      <c r="F309" s="3222"/>
      <c r="G309" s="3222"/>
      <c r="H309" s="3222"/>
      <c r="I309" s="3222"/>
      <c r="J309" s="3222"/>
      <c r="K309" s="3222"/>
      <c r="L309" s="3222"/>
      <c r="M309" s="3222"/>
      <c r="N309" s="3222"/>
      <c r="O309" s="3222"/>
      <c r="P309" s="3222"/>
      <c r="Q309" s="3222"/>
      <c r="R309" s="3222"/>
      <c r="S309" s="3222"/>
      <c r="T309" s="3222"/>
      <c r="U309" s="3222"/>
      <c r="V309" s="3222"/>
      <c r="W309" s="3222"/>
      <c r="X309" s="3222"/>
      <c r="Y309" s="3542"/>
    </row>
    <row r="310" spans="1:25">
      <c r="E310" s="3222"/>
      <c r="N310" s="3222"/>
      <c r="Y310" s="3542"/>
    </row>
    <row r="311" spans="1:25">
      <c r="E311" s="3222"/>
      <c r="N311" s="3222"/>
      <c r="Y311" s="3542"/>
    </row>
    <row r="312" spans="1:25">
      <c r="E312" s="3222"/>
      <c r="N312" s="3222"/>
      <c r="Y312" s="3542"/>
    </row>
    <row r="313" spans="1:25">
      <c r="E313" s="3222"/>
      <c r="N313" s="3222"/>
      <c r="Y313" s="3542"/>
    </row>
    <row r="314" spans="1:25">
      <c r="E314" s="3222"/>
      <c r="N314" s="3222"/>
      <c r="Y314" s="3542"/>
    </row>
    <row r="315" spans="1:25">
      <c r="E315" s="3222"/>
      <c r="N315" s="3222"/>
      <c r="Y315" s="3542"/>
    </row>
    <row r="316" spans="1:25">
      <c r="E316" s="3222"/>
      <c r="N316" s="3222"/>
      <c r="Y316" s="3542"/>
    </row>
    <row r="317" spans="1:25">
      <c r="E317" s="3222"/>
      <c r="N317" s="3222"/>
    </row>
    <row r="318" spans="1:25">
      <c r="E318" s="3222"/>
      <c r="N318" s="3222"/>
    </row>
    <row r="319" spans="1:25">
      <c r="E319" s="3222"/>
      <c r="N319" s="3222"/>
    </row>
    <row r="320" spans="1:25">
      <c r="E320" s="3222"/>
      <c r="N320" s="3222"/>
    </row>
    <row r="321" spans="5:14">
      <c r="E321" s="3222"/>
      <c r="N321" s="3222"/>
    </row>
    <row r="322" spans="5:14">
      <c r="E322" s="3222"/>
      <c r="N322" s="3222"/>
    </row>
    <row r="323" spans="5:14">
      <c r="E323" s="3222"/>
      <c r="N323" s="3222"/>
    </row>
    <row r="324" spans="5:14">
      <c r="E324" s="3222"/>
      <c r="N324" s="3222"/>
    </row>
    <row r="325" spans="5:14">
      <c r="E325" s="3222"/>
      <c r="N325" s="3222"/>
    </row>
    <row r="326" spans="5:14">
      <c r="E326" s="3222"/>
      <c r="N326" s="3222"/>
    </row>
    <row r="327" spans="5:14">
      <c r="E327" s="3222"/>
      <c r="N327" s="3222"/>
    </row>
    <row r="328" spans="5:14">
      <c r="E328" s="3222"/>
      <c r="N328" s="3222"/>
    </row>
    <row r="329" spans="5:14">
      <c r="E329" s="3222"/>
      <c r="N329" s="3222"/>
    </row>
    <row r="330" spans="5:14">
      <c r="E330" s="3222"/>
      <c r="N330" s="3222"/>
    </row>
    <row r="331" spans="5:14">
      <c r="E331" s="3222"/>
      <c r="N331" s="3222"/>
    </row>
    <row r="332" spans="5:14">
      <c r="E332" s="3222"/>
      <c r="N332" s="3222"/>
    </row>
    <row r="333" spans="5:14">
      <c r="E333" s="3222"/>
      <c r="N333" s="3222"/>
    </row>
    <row r="334" spans="5:14">
      <c r="E334" s="3222"/>
      <c r="N334" s="3222"/>
    </row>
    <row r="335" spans="5:14">
      <c r="E335" s="3222"/>
      <c r="N335" s="3222"/>
    </row>
    <row r="336" spans="5:14">
      <c r="E336" s="3222"/>
      <c r="N336" s="3222"/>
    </row>
    <row r="337" spans="5:14">
      <c r="E337" s="3222"/>
      <c r="N337" s="3222"/>
    </row>
    <row r="338" spans="5:14">
      <c r="E338" s="3222"/>
      <c r="N338" s="3222"/>
    </row>
    <row r="339" spans="5:14">
      <c r="E339" s="3222"/>
      <c r="N339" s="3222"/>
    </row>
    <row r="340" spans="5:14">
      <c r="E340" s="3222"/>
      <c r="N340" s="3222"/>
    </row>
    <row r="341" spans="5:14">
      <c r="E341" s="3222"/>
      <c r="N341" s="3222"/>
    </row>
    <row r="342" spans="5:14">
      <c r="E342" s="3222"/>
      <c r="N342" s="3222"/>
    </row>
    <row r="343" spans="5:14">
      <c r="E343" s="3222"/>
      <c r="N343" s="3222"/>
    </row>
    <row r="344" spans="5:14">
      <c r="E344" s="3222"/>
      <c r="N344" s="3222"/>
    </row>
    <row r="345" spans="5:14">
      <c r="E345" s="3222"/>
      <c r="N345" s="3222"/>
    </row>
    <row r="346" spans="5:14">
      <c r="E346" s="3222"/>
      <c r="N346" s="3222"/>
    </row>
    <row r="347" spans="5:14">
      <c r="E347" s="3222"/>
      <c r="N347" s="3222"/>
    </row>
    <row r="348" spans="5:14">
      <c r="E348" s="3222"/>
      <c r="N348" s="3222"/>
    </row>
    <row r="349" spans="5:14">
      <c r="E349" s="3222"/>
      <c r="N349" s="3222"/>
    </row>
    <row r="350" spans="5:14">
      <c r="E350" s="3222"/>
      <c r="N350" s="3222"/>
    </row>
    <row r="351" spans="5:14">
      <c r="E351" s="3222"/>
      <c r="N351" s="3222"/>
    </row>
    <row r="352" spans="5:14">
      <c r="E352" s="3222"/>
      <c r="N352" s="3222"/>
    </row>
    <row r="353" spans="5:14">
      <c r="E353" s="3222"/>
      <c r="N353" s="3222"/>
    </row>
    <row r="354" spans="5:14">
      <c r="E354" s="3222"/>
      <c r="N354" s="3222"/>
    </row>
    <row r="355" spans="5:14">
      <c r="E355" s="3222"/>
      <c r="N355" s="3222"/>
    </row>
    <row r="356" spans="5:14">
      <c r="E356" s="3222"/>
      <c r="N356" s="3222"/>
    </row>
    <row r="357" spans="5:14">
      <c r="E357" s="3222"/>
      <c r="N357" s="3222"/>
    </row>
    <row r="358" spans="5:14">
      <c r="E358" s="3222"/>
      <c r="N358" s="3222"/>
    </row>
    <row r="359" spans="5:14">
      <c r="E359" s="3222"/>
      <c r="N359" s="3222"/>
    </row>
    <row r="360" spans="5:14">
      <c r="E360" s="3222"/>
      <c r="N360" s="3222"/>
    </row>
    <row r="361" spans="5:14">
      <c r="E361" s="3222"/>
      <c r="N361" s="3222"/>
    </row>
    <row r="362" spans="5:14">
      <c r="E362" s="3222"/>
      <c r="N362" s="3222"/>
    </row>
    <row r="363" spans="5:14">
      <c r="E363" s="3222"/>
      <c r="N363" s="3222"/>
    </row>
    <row r="364" spans="5:14">
      <c r="E364" s="3222"/>
      <c r="N364" s="3222"/>
    </row>
    <row r="365" spans="5:14">
      <c r="E365" s="3222"/>
      <c r="N365" s="3222"/>
    </row>
    <row r="366" spans="5:14">
      <c r="E366" s="3222"/>
      <c r="N366" s="3222"/>
    </row>
    <row r="367" spans="5:14">
      <c r="E367" s="3222"/>
      <c r="N367" s="3222"/>
    </row>
    <row r="368" spans="5:14">
      <c r="E368" s="3222"/>
      <c r="N368" s="3222"/>
    </row>
    <row r="369" spans="5:14">
      <c r="E369" s="3222"/>
      <c r="N369" s="3222"/>
    </row>
    <row r="370" spans="5:14">
      <c r="E370" s="3222"/>
      <c r="N370" s="3222"/>
    </row>
    <row r="371" spans="5:14">
      <c r="E371" s="3222"/>
      <c r="N371" s="3222"/>
    </row>
    <row r="372" spans="5:14">
      <c r="E372" s="3222"/>
      <c r="N372" s="3222"/>
    </row>
    <row r="373" spans="5:14">
      <c r="E373" s="3222"/>
      <c r="N373" s="3222"/>
    </row>
    <row r="374" spans="5:14">
      <c r="E374" s="3222"/>
      <c r="N374" s="3222"/>
    </row>
    <row r="375" spans="5:14">
      <c r="E375" s="3222"/>
      <c r="N375" s="3222"/>
    </row>
    <row r="376" spans="5:14">
      <c r="E376" s="3222"/>
      <c r="N376" s="3222"/>
    </row>
    <row r="377" spans="5:14">
      <c r="E377" s="3222"/>
      <c r="N377" s="3222"/>
    </row>
    <row r="378" spans="5:14">
      <c r="E378" s="3222"/>
      <c r="N378" s="3222"/>
    </row>
    <row r="379" spans="5:14">
      <c r="E379" s="3222"/>
      <c r="N379" s="3222"/>
    </row>
    <row r="380" spans="5:14">
      <c r="E380" s="3222"/>
      <c r="N380" s="3222"/>
    </row>
    <row r="381" spans="5:14">
      <c r="E381" s="3222"/>
      <c r="N381" s="3222"/>
    </row>
    <row r="382" spans="5:14">
      <c r="E382" s="3222"/>
      <c r="N382" s="3222"/>
    </row>
    <row r="383" spans="5:14">
      <c r="E383" s="3222"/>
      <c r="N383" s="3222"/>
    </row>
    <row r="384" spans="5:14">
      <c r="E384" s="3222"/>
      <c r="N384" s="3222"/>
    </row>
    <row r="385" spans="5:14">
      <c r="E385" s="3222"/>
      <c r="N385" s="3222"/>
    </row>
    <row r="386" spans="5:14">
      <c r="E386" s="3222"/>
      <c r="N386" s="3222"/>
    </row>
    <row r="387" spans="5:14">
      <c r="E387" s="3222"/>
      <c r="N387" s="3222"/>
    </row>
    <row r="388" spans="5:14">
      <c r="E388" s="3222"/>
      <c r="N388" s="3222"/>
    </row>
    <row r="389" spans="5:14">
      <c r="E389" s="3222"/>
      <c r="N389" s="3222"/>
    </row>
    <row r="390" spans="5:14">
      <c r="E390" s="3222"/>
      <c r="N390" s="3222"/>
    </row>
    <row r="391" spans="5:14">
      <c r="E391" s="3222"/>
      <c r="N391" s="3222"/>
    </row>
    <row r="392" spans="5:14">
      <c r="E392" s="3222"/>
      <c r="N392" s="3222"/>
    </row>
    <row r="393" spans="5:14">
      <c r="E393" s="3222"/>
      <c r="N393" s="3222"/>
    </row>
    <row r="394" spans="5:14">
      <c r="E394" s="3222"/>
      <c r="N394" s="3222"/>
    </row>
    <row r="395" spans="5:14">
      <c r="E395" s="3222"/>
      <c r="N395" s="3222"/>
    </row>
    <row r="396" spans="5:14">
      <c r="E396" s="3222"/>
      <c r="N396" s="3222"/>
    </row>
    <row r="397" spans="5:14">
      <c r="E397" s="3222"/>
      <c r="N397" s="3222"/>
    </row>
    <row r="398" spans="5:14">
      <c r="E398" s="3222"/>
      <c r="N398" s="3222"/>
    </row>
    <row r="399" spans="5:14">
      <c r="E399" s="3222"/>
      <c r="N399" s="3222"/>
    </row>
    <row r="400" spans="5:14">
      <c r="E400" s="3222"/>
      <c r="N400" s="3222"/>
    </row>
    <row r="401" spans="5:14">
      <c r="E401" s="3222"/>
      <c r="N401" s="3222"/>
    </row>
    <row r="402" spans="5:14">
      <c r="E402" s="3222"/>
      <c r="N402" s="3222"/>
    </row>
    <row r="403" spans="5:14">
      <c r="E403" s="3222"/>
      <c r="N403" s="3222"/>
    </row>
    <row r="404" spans="5:14">
      <c r="E404" s="3222"/>
      <c r="N404" s="3222"/>
    </row>
    <row r="405" spans="5:14">
      <c r="E405" s="3222"/>
      <c r="N405" s="3222"/>
    </row>
    <row r="406" spans="5:14">
      <c r="E406" s="3222"/>
      <c r="N406" s="3222"/>
    </row>
    <row r="407" spans="5:14">
      <c r="E407" s="3222"/>
      <c r="N407" s="3222"/>
    </row>
    <row r="408" spans="5:14">
      <c r="E408" s="3222"/>
      <c r="N408" s="3222"/>
    </row>
    <row r="409" spans="5:14">
      <c r="E409" s="3222"/>
      <c r="N409" s="3222"/>
    </row>
    <row r="410" spans="5:14">
      <c r="E410" s="3222"/>
      <c r="N410" s="3222"/>
    </row>
    <row r="411" spans="5:14">
      <c r="E411" s="3222"/>
      <c r="N411" s="3222"/>
    </row>
    <row r="412" spans="5:14">
      <c r="E412" s="3222"/>
      <c r="N412" s="3222"/>
    </row>
    <row r="413" spans="5:14">
      <c r="E413" s="3222"/>
      <c r="N413" s="3222"/>
    </row>
    <row r="414" spans="5:14">
      <c r="E414" s="3222"/>
      <c r="N414" s="3222"/>
    </row>
    <row r="415" spans="5:14">
      <c r="E415" s="3222"/>
      <c r="N415" s="3222"/>
    </row>
    <row r="416" spans="5:14">
      <c r="E416" s="3222"/>
      <c r="N416" s="3222"/>
    </row>
    <row r="417" spans="5:14">
      <c r="E417" s="3222"/>
      <c r="N417" s="3222"/>
    </row>
    <row r="418" spans="5:14">
      <c r="E418" s="3222"/>
      <c r="N418" s="3222"/>
    </row>
    <row r="419" spans="5:14">
      <c r="E419" s="3222"/>
      <c r="N419" s="3222"/>
    </row>
    <row r="420" spans="5:14">
      <c r="E420" s="3222"/>
      <c r="N420" s="3222"/>
    </row>
    <row r="421" spans="5:14">
      <c r="E421" s="3222"/>
      <c r="N421" s="3222"/>
    </row>
    <row r="422" spans="5:14">
      <c r="E422" s="3222"/>
      <c r="N422" s="3222"/>
    </row>
    <row r="423" spans="5:14">
      <c r="E423" s="3222"/>
      <c r="N423" s="3222"/>
    </row>
    <row r="424" spans="5:14">
      <c r="E424" s="3222"/>
      <c r="N424" s="3222"/>
    </row>
    <row r="425" spans="5:14">
      <c r="E425" s="3222"/>
      <c r="N425" s="3222"/>
    </row>
    <row r="426" spans="5:14">
      <c r="E426" s="3222"/>
      <c r="N426" s="3222"/>
    </row>
    <row r="427" spans="5:14">
      <c r="E427" s="3222"/>
      <c r="N427" s="3222"/>
    </row>
    <row r="428" spans="5:14">
      <c r="E428" s="3222"/>
      <c r="N428" s="3222"/>
    </row>
    <row r="429" spans="5:14">
      <c r="E429" s="3222"/>
      <c r="N429" s="3222"/>
    </row>
    <row r="430" spans="5:14">
      <c r="E430" s="3222"/>
      <c r="N430" s="3222"/>
    </row>
    <row r="431" spans="5:14">
      <c r="E431" s="3222"/>
      <c r="N431" s="3222"/>
    </row>
    <row r="432" spans="5:14">
      <c r="E432" s="3222"/>
      <c r="N432" s="3222"/>
    </row>
    <row r="433" spans="5:14">
      <c r="E433" s="3222"/>
      <c r="N433" s="3222"/>
    </row>
    <row r="434" spans="5:14">
      <c r="E434" s="3222"/>
      <c r="N434" s="3222"/>
    </row>
    <row r="435" spans="5:14">
      <c r="E435" s="3222"/>
      <c r="N435" s="3222"/>
    </row>
    <row r="436" spans="5:14">
      <c r="E436" s="3222"/>
      <c r="N436" s="3222"/>
    </row>
    <row r="437" spans="5:14">
      <c r="E437" s="3222"/>
      <c r="N437" s="3222"/>
    </row>
    <row r="438" spans="5:14">
      <c r="E438" s="3222"/>
      <c r="N438" s="3222"/>
    </row>
    <row r="439" spans="5:14">
      <c r="E439" s="3222"/>
      <c r="N439" s="3222"/>
    </row>
    <row r="440" spans="5:14">
      <c r="E440" s="3222"/>
      <c r="N440" s="3222"/>
    </row>
    <row r="441" spans="5:14">
      <c r="E441" s="3222"/>
      <c r="N441" s="3222"/>
    </row>
    <row r="442" spans="5:14">
      <c r="E442" s="3222"/>
      <c r="N442" s="3222"/>
    </row>
    <row r="443" spans="5:14">
      <c r="E443" s="3222"/>
      <c r="N443" s="3222"/>
    </row>
    <row r="444" spans="5:14">
      <c r="E444" s="3222"/>
      <c r="N444" s="3222"/>
    </row>
    <row r="445" spans="5:14">
      <c r="E445" s="3222"/>
      <c r="N445" s="3222"/>
    </row>
    <row r="446" spans="5:14">
      <c r="E446" s="3222"/>
      <c r="N446" s="3222"/>
    </row>
    <row r="447" spans="5:14">
      <c r="E447" s="3222"/>
      <c r="N447" s="3222"/>
    </row>
    <row r="448" spans="5:14">
      <c r="E448" s="3222"/>
      <c r="N448" s="3222"/>
    </row>
    <row r="449" spans="5:14">
      <c r="E449" s="3222"/>
      <c r="N449" s="3222"/>
    </row>
    <row r="450" spans="5:14">
      <c r="E450" s="3222"/>
      <c r="N450" s="3222"/>
    </row>
    <row r="451" spans="5:14">
      <c r="E451" s="3222"/>
      <c r="N451" s="3222"/>
    </row>
    <row r="452" spans="5:14">
      <c r="E452" s="3222"/>
      <c r="N452" s="3222"/>
    </row>
    <row r="453" spans="5:14">
      <c r="E453" s="3222"/>
      <c r="N453" s="3222"/>
    </row>
    <row r="454" spans="5:14">
      <c r="E454" s="3222"/>
      <c r="N454" s="3222"/>
    </row>
    <row r="455" spans="5:14">
      <c r="E455" s="3222"/>
      <c r="N455" s="3222"/>
    </row>
    <row r="456" spans="5:14">
      <c r="E456" s="3222"/>
      <c r="N456" s="3222"/>
    </row>
    <row r="457" spans="5:14">
      <c r="E457" s="3222"/>
      <c r="N457" s="3222"/>
    </row>
    <row r="458" spans="5:14">
      <c r="E458" s="3222"/>
      <c r="N458" s="3222"/>
    </row>
    <row r="459" spans="5:14">
      <c r="E459" s="3222"/>
      <c r="N459" s="3222"/>
    </row>
    <row r="460" spans="5:14">
      <c r="E460" s="3222"/>
      <c r="N460" s="3222"/>
    </row>
    <row r="461" spans="5:14">
      <c r="E461" s="3222"/>
      <c r="N461" s="3222"/>
    </row>
    <row r="462" spans="5:14">
      <c r="E462" s="3222"/>
      <c r="N462" s="3222"/>
    </row>
    <row r="463" spans="5:14">
      <c r="E463" s="3222"/>
      <c r="N463" s="3222"/>
    </row>
    <row r="464" spans="5:14">
      <c r="E464" s="3222"/>
      <c r="N464" s="3222"/>
    </row>
    <row r="465" spans="5:14">
      <c r="E465" s="3222"/>
      <c r="N465" s="3222"/>
    </row>
    <row r="466" spans="5:14">
      <c r="E466" s="3222"/>
      <c r="N466" s="3222"/>
    </row>
    <row r="467" spans="5:14">
      <c r="E467" s="3222"/>
      <c r="N467" s="3222"/>
    </row>
    <row r="468" spans="5:14">
      <c r="E468" s="3222"/>
      <c r="N468" s="3222"/>
    </row>
    <row r="469" spans="5:14">
      <c r="E469" s="3222"/>
      <c r="N469" s="3222"/>
    </row>
    <row r="470" spans="5:14">
      <c r="E470" s="3222"/>
      <c r="N470" s="3222"/>
    </row>
    <row r="471" spans="5:14">
      <c r="E471" s="3222"/>
      <c r="N471" s="3222"/>
    </row>
    <row r="472" spans="5:14">
      <c r="E472" s="3222"/>
      <c r="N472" s="3222"/>
    </row>
    <row r="473" spans="5:14">
      <c r="E473" s="3222"/>
      <c r="N473" s="3222"/>
    </row>
    <row r="474" spans="5:14">
      <c r="E474" s="3222"/>
      <c r="N474" s="3222"/>
    </row>
    <row r="475" spans="5:14">
      <c r="E475" s="3222"/>
      <c r="N475" s="3222"/>
    </row>
    <row r="476" spans="5:14">
      <c r="E476" s="3222"/>
      <c r="N476" s="3222"/>
    </row>
    <row r="477" spans="5:14">
      <c r="E477" s="3222"/>
      <c r="N477" s="3222"/>
    </row>
    <row r="478" spans="5:14">
      <c r="E478" s="3222"/>
      <c r="N478" s="3222"/>
    </row>
    <row r="479" spans="5:14">
      <c r="E479" s="3222"/>
      <c r="N479" s="3222"/>
    </row>
    <row r="480" spans="5:14">
      <c r="E480" s="3222"/>
      <c r="N480" s="3222"/>
    </row>
    <row r="481" spans="5:14">
      <c r="E481" s="3222"/>
      <c r="N481" s="3222"/>
    </row>
    <row r="482" spans="5:14">
      <c r="E482" s="3222"/>
      <c r="N482" s="3222"/>
    </row>
    <row r="483" spans="5:14">
      <c r="E483" s="3222"/>
      <c r="N483" s="3222"/>
    </row>
    <row r="484" spans="5:14">
      <c r="E484" s="3222"/>
      <c r="N484" s="3222"/>
    </row>
    <row r="485" spans="5:14">
      <c r="E485" s="3222"/>
      <c r="N485" s="3222"/>
    </row>
    <row r="486" spans="5:14">
      <c r="E486" s="3222"/>
      <c r="N486" s="3222"/>
    </row>
    <row r="487" spans="5:14">
      <c r="E487" s="3222"/>
      <c r="N487" s="3222"/>
    </row>
    <row r="488" spans="5:14">
      <c r="E488" s="3222"/>
      <c r="N488" s="3222"/>
    </row>
    <row r="489" spans="5:14">
      <c r="E489" s="3222"/>
      <c r="N489" s="3222"/>
    </row>
    <row r="490" spans="5:14">
      <c r="E490" s="3222"/>
      <c r="N490" s="3222"/>
    </row>
    <row r="491" spans="5:14">
      <c r="E491" s="3222"/>
      <c r="N491" s="3222"/>
    </row>
    <row r="492" spans="5:14">
      <c r="E492" s="3222"/>
      <c r="N492" s="3222"/>
    </row>
    <row r="493" spans="5:14">
      <c r="E493" s="3222"/>
      <c r="N493" s="3222"/>
    </row>
    <row r="494" spans="5:14">
      <c r="E494" s="3222"/>
      <c r="N494" s="3222"/>
    </row>
    <row r="495" spans="5:14">
      <c r="E495" s="3222"/>
      <c r="N495" s="3222"/>
    </row>
    <row r="496" spans="5:14">
      <c r="E496" s="3222"/>
      <c r="N496" s="3222"/>
    </row>
    <row r="497" spans="5:14">
      <c r="E497" s="3222"/>
      <c r="N497" s="3222"/>
    </row>
    <row r="498" spans="5:14">
      <c r="E498" s="3222"/>
      <c r="N498" s="3222"/>
    </row>
    <row r="499" spans="5:14">
      <c r="E499" s="3222"/>
      <c r="N499" s="3222"/>
    </row>
    <row r="500" spans="5:14">
      <c r="E500" s="3222"/>
      <c r="N500" s="3222"/>
    </row>
    <row r="501" spans="5:14">
      <c r="E501" s="3222"/>
      <c r="N501" s="3222"/>
    </row>
    <row r="502" spans="5:14">
      <c r="E502" s="3222"/>
      <c r="N502" s="3222"/>
    </row>
    <row r="503" spans="5:14">
      <c r="E503" s="3222"/>
      <c r="N503" s="3222"/>
    </row>
    <row r="504" spans="5:14">
      <c r="E504" s="3222"/>
      <c r="N504" s="3222"/>
    </row>
    <row r="505" spans="5:14">
      <c r="E505" s="3222"/>
      <c r="N505" s="3222"/>
    </row>
    <row r="506" spans="5:14">
      <c r="E506" s="3222"/>
      <c r="N506" s="3222"/>
    </row>
    <row r="507" spans="5:14">
      <c r="E507" s="3222"/>
      <c r="N507" s="3222"/>
    </row>
    <row r="508" spans="5:14">
      <c r="E508" s="3222"/>
      <c r="N508" s="3222"/>
    </row>
    <row r="509" spans="5:14">
      <c r="E509" s="3222"/>
      <c r="N509" s="3222"/>
    </row>
    <row r="510" spans="5:14">
      <c r="E510" s="3222"/>
      <c r="N510" s="3222"/>
    </row>
    <row r="511" spans="5:14">
      <c r="E511" s="3222"/>
      <c r="N511" s="3222"/>
    </row>
    <row r="512" spans="5:14">
      <c r="E512" s="3222"/>
      <c r="N512" s="3222"/>
    </row>
    <row r="513" spans="5:14">
      <c r="E513" s="3222"/>
      <c r="N513" s="3222"/>
    </row>
    <row r="514" spans="5:14">
      <c r="E514" s="3222"/>
      <c r="N514" s="3222"/>
    </row>
    <row r="515" spans="5:14">
      <c r="E515" s="3222"/>
      <c r="N515" s="3222"/>
    </row>
    <row r="516" spans="5:14">
      <c r="E516" s="3222"/>
      <c r="N516" s="3222"/>
    </row>
    <row r="517" spans="5:14">
      <c r="E517" s="3222"/>
      <c r="N517" s="3222"/>
    </row>
    <row r="518" spans="5:14">
      <c r="E518" s="3222"/>
      <c r="N518" s="3222"/>
    </row>
    <row r="519" spans="5:14">
      <c r="E519" s="3222"/>
      <c r="N519" s="3222"/>
    </row>
    <row r="520" spans="5:14">
      <c r="E520" s="3222"/>
      <c r="N520" s="3222"/>
    </row>
    <row r="521" spans="5:14">
      <c r="E521" s="3222"/>
      <c r="N521" s="3222"/>
    </row>
    <row r="522" spans="5:14">
      <c r="E522" s="3222"/>
      <c r="N522" s="3222"/>
    </row>
    <row r="523" spans="5:14">
      <c r="E523" s="3222"/>
      <c r="N523" s="3222"/>
    </row>
    <row r="524" spans="5:14">
      <c r="E524" s="3222"/>
      <c r="N524" s="3222"/>
    </row>
    <row r="525" spans="5:14">
      <c r="E525" s="3222"/>
      <c r="N525" s="3222"/>
    </row>
    <row r="526" spans="5:14">
      <c r="E526" s="3222"/>
      <c r="N526" s="3222"/>
    </row>
    <row r="527" spans="5:14">
      <c r="E527" s="3222"/>
      <c r="N527" s="3222"/>
    </row>
    <row r="528" spans="5:14">
      <c r="E528" s="3222"/>
      <c r="N528" s="3222"/>
    </row>
    <row r="529" spans="1:25">
      <c r="E529" s="3222"/>
      <c r="N529" s="3222"/>
    </row>
    <row r="530" spans="1:25">
      <c r="E530" s="3222"/>
      <c r="N530" s="3222"/>
    </row>
    <row r="531" spans="1:25" ht="13.5" thickBot="1">
      <c r="E531" s="3222"/>
      <c r="N531" s="3222"/>
    </row>
    <row r="532" spans="1:25" ht="33.75">
      <c r="A532" s="3543"/>
      <c r="B532" s="3544" t="s">
        <v>85</v>
      </c>
      <c r="C532" s="3544"/>
      <c r="D532" s="3545"/>
      <c r="E532" s="3545"/>
      <c r="F532" s="3545"/>
      <c r="G532" s="3545"/>
      <c r="H532" s="3545"/>
      <c r="I532" s="3545"/>
      <c r="J532" s="3545"/>
      <c r="K532" s="3545"/>
      <c r="L532" s="3545"/>
      <c r="M532" s="3545"/>
      <c r="N532" s="3545"/>
      <c r="O532" s="3545"/>
      <c r="P532" s="3545"/>
      <c r="Q532" s="3545"/>
      <c r="R532" s="3545"/>
      <c r="S532" s="3545"/>
      <c r="T532" s="3545"/>
      <c r="U532" s="3545"/>
      <c r="V532" s="3545"/>
      <c r="W532" s="3545"/>
      <c r="X532" s="3545"/>
      <c r="Y532" s="3546"/>
    </row>
    <row r="533" spans="1:25">
      <c r="A533" s="3547"/>
      <c r="E533" s="3222"/>
      <c r="N533" s="3222"/>
      <c r="Y533" s="3548"/>
    </row>
    <row r="534" spans="1:25">
      <c r="A534" s="3547"/>
      <c r="E534" s="3222"/>
      <c r="N534" s="3222"/>
      <c r="Y534" s="3548"/>
    </row>
    <row r="535" spans="1:25">
      <c r="A535" s="3547"/>
      <c r="E535" s="3222"/>
      <c r="N535" s="3222"/>
      <c r="Y535" s="3548"/>
    </row>
    <row r="536" spans="1:25">
      <c r="A536" s="3547"/>
      <c r="E536" s="3222"/>
      <c r="N536" s="3222"/>
      <c r="Y536" s="3548"/>
    </row>
    <row r="537" spans="1:25">
      <c r="A537" s="3547"/>
      <c r="E537" s="3222"/>
      <c r="N537" s="3222"/>
      <c r="Y537" s="3548"/>
    </row>
    <row r="538" spans="1:25">
      <c r="A538" s="3547"/>
      <c r="E538" s="3222"/>
      <c r="N538" s="3222"/>
      <c r="Y538" s="3548"/>
    </row>
    <row r="539" spans="1:25">
      <c r="A539" s="3547"/>
      <c r="E539" s="3222"/>
      <c r="N539" s="3222"/>
      <c r="Y539" s="3548"/>
    </row>
    <row r="540" spans="1:25">
      <c r="A540" s="3547"/>
      <c r="E540" s="3222"/>
      <c r="N540" s="3222"/>
      <c r="Y540" s="3548"/>
    </row>
    <row r="541" spans="1:25">
      <c r="A541" s="3547"/>
      <c r="E541" s="3222"/>
      <c r="N541" s="3222"/>
      <c r="Y541" s="3548"/>
    </row>
    <row r="542" spans="1:25">
      <c r="A542" s="3547"/>
      <c r="E542" s="3222"/>
      <c r="N542" s="3222"/>
      <c r="Y542" s="3548"/>
    </row>
    <row r="543" spans="1:25" ht="13.5" thickBot="1">
      <c r="A543" s="3549"/>
      <c r="B543" s="3550"/>
      <c r="C543" s="3550"/>
      <c r="D543" s="3550"/>
      <c r="E543" s="3550"/>
      <c r="F543" s="3550"/>
      <c r="G543" s="3550"/>
      <c r="H543" s="3550"/>
      <c r="I543" s="3550"/>
      <c r="J543" s="3550"/>
      <c r="K543" s="3550"/>
      <c r="L543" s="3550"/>
      <c r="M543" s="3550"/>
      <c r="N543" s="3550"/>
      <c r="O543" s="3550"/>
      <c r="P543" s="3550"/>
      <c r="Q543" s="3550"/>
      <c r="R543" s="3550"/>
      <c r="S543" s="3550"/>
      <c r="T543" s="3550"/>
      <c r="U543" s="3550"/>
      <c r="V543" s="3550"/>
      <c r="W543" s="3550"/>
      <c r="X543" s="3550"/>
      <c r="Y543" s="3551"/>
    </row>
    <row r="544" spans="1:25">
      <c r="E544" s="3222"/>
      <c r="N544" s="3222"/>
    </row>
    <row r="545" spans="5:14">
      <c r="E545" s="3222"/>
      <c r="N545" s="3222"/>
    </row>
    <row r="546" spans="5:14">
      <c r="E546" s="3222"/>
      <c r="N546" s="3222"/>
    </row>
    <row r="547" spans="5:14">
      <c r="E547" s="3222"/>
      <c r="N547" s="3222"/>
    </row>
    <row r="548" spans="5:14">
      <c r="E548" s="3222"/>
      <c r="N548" s="3222"/>
    </row>
    <row r="549" spans="5:14">
      <c r="E549" s="3222"/>
      <c r="N549" s="3222"/>
    </row>
    <row r="550" spans="5:14">
      <c r="E550" s="3222"/>
      <c r="N550" s="3222"/>
    </row>
    <row r="551" spans="5:14">
      <c r="E551" s="3222"/>
      <c r="N551" s="3222"/>
    </row>
    <row r="552" spans="5:14">
      <c r="E552" s="3222"/>
      <c r="N552" s="3222"/>
    </row>
    <row r="553" spans="5:14">
      <c r="E553" s="3222"/>
      <c r="N553" s="3222"/>
    </row>
    <row r="554" spans="5:14">
      <c r="E554" s="3222"/>
      <c r="N554" s="3222"/>
    </row>
    <row r="555" spans="5:14">
      <c r="E555" s="3222"/>
      <c r="N555" s="3222"/>
    </row>
    <row r="556" spans="5:14">
      <c r="E556" s="3222"/>
      <c r="N556" s="3222"/>
    </row>
    <row r="557" spans="5:14">
      <c r="E557" s="3222"/>
      <c r="N557" s="3222"/>
    </row>
    <row r="558" spans="5:14">
      <c r="E558" s="3222"/>
      <c r="N558" s="3222"/>
    </row>
    <row r="559" spans="5:14">
      <c r="E559" s="3222"/>
      <c r="N559" s="3222"/>
    </row>
    <row r="560" spans="5:14">
      <c r="E560" s="3222"/>
      <c r="N560" s="3222"/>
    </row>
    <row r="561" spans="5:14">
      <c r="E561" s="3222"/>
      <c r="N561" s="3222"/>
    </row>
    <row r="562" spans="5:14">
      <c r="E562" s="3222"/>
      <c r="N562" s="3222"/>
    </row>
    <row r="563" spans="5:14">
      <c r="E563" s="3222"/>
      <c r="N563" s="3222"/>
    </row>
    <row r="564" spans="5:14">
      <c r="E564" s="3222"/>
      <c r="N564" s="3222"/>
    </row>
    <row r="565" spans="5:14">
      <c r="E565" s="3222"/>
      <c r="N565" s="3222"/>
    </row>
    <row r="566" spans="5:14">
      <c r="E566" s="3222"/>
      <c r="N566" s="3222"/>
    </row>
    <row r="567" spans="5:14">
      <c r="E567" s="3222"/>
      <c r="N567" s="3222"/>
    </row>
    <row r="568" spans="5:14">
      <c r="E568" s="3222"/>
      <c r="N568" s="3222"/>
    </row>
    <row r="569" spans="5:14">
      <c r="E569" s="3222"/>
      <c r="N569" s="3222"/>
    </row>
    <row r="570" spans="5:14">
      <c r="E570" s="3222"/>
      <c r="N570" s="3222"/>
    </row>
    <row r="571" spans="5:14">
      <c r="E571" s="3222"/>
      <c r="N571" s="3222"/>
    </row>
    <row r="572" spans="5:14">
      <c r="E572" s="3222"/>
      <c r="N572" s="3222"/>
    </row>
    <row r="573" spans="5:14">
      <c r="E573" s="3222"/>
      <c r="N573" s="3222"/>
    </row>
    <row r="574" spans="5:14">
      <c r="E574" s="3222"/>
      <c r="N574" s="3222"/>
    </row>
    <row r="575" spans="5:14">
      <c r="E575" s="3222"/>
      <c r="N575" s="3222"/>
    </row>
    <row r="576" spans="5:14">
      <c r="E576" s="3222"/>
      <c r="N576" s="3222"/>
    </row>
    <row r="577" spans="5:14">
      <c r="E577" s="3222"/>
      <c r="N577" s="3222"/>
    </row>
    <row r="578" spans="5:14">
      <c r="E578" s="3222"/>
      <c r="N578" s="3222"/>
    </row>
    <row r="579" spans="5:14">
      <c r="E579" s="3222"/>
      <c r="N579" s="3222"/>
    </row>
    <row r="580" spans="5:14">
      <c r="E580" s="3222"/>
      <c r="N580" s="3222"/>
    </row>
    <row r="581" spans="5:14">
      <c r="E581" s="3222"/>
      <c r="N581" s="3222"/>
    </row>
    <row r="582" spans="5:14">
      <c r="E582" s="3222"/>
      <c r="N582" s="3222"/>
    </row>
    <row r="583" spans="5:14">
      <c r="E583" s="3222"/>
      <c r="N583" s="3222"/>
    </row>
    <row r="584" spans="5:14">
      <c r="E584" s="3222"/>
      <c r="N584" s="3222"/>
    </row>
    <row r="585" spans="5:14">
      <c r="E585" s="3222"/>
      <c r="N585" s="3222"/>
    </row>
    <row r="586" spans="5:14">
      <c r="E586" s="3222"/>
      <c r="N586" s="3222"/>
    </row>
    <row r="587" spans="5:14">
      <c r="E587" s="3222"/>
      <c r="N587" s="3222"/>
    </row>
    <row r="588" spans="5:14">
      <c r="E588" s="3222"/>
      <c r="N588" s="3222"/>
    </row>
    <row r="589" spans="5:14">
      <c r="E589" s="3222"/>
      <c r="N589" s="3222"/>
    </row>
    <row r="590" spans="5:14">
      <c r="E590" s="3222"/>
      <c r="N590" s="3222"/>
    </row>
    <row r="591" spans="5:14">
      <c r="E591" s="3222"/>
      <c r="N591" s="3222"/>
    </row>
    <row r="592" spans="5:14">
      <c r="E592" s="3222"/>
      <c r="N592" s="3222"/>
    </row>
    <row r="593" spans="5:14">
      <c r="E593" s="3222"/>
      <c r="N593" s="3222"/>
    </row>
    <row r="594" spans="5:14">
      <c r="E594" s="3222"/>
      <c r="N594" s="3222"/>
    </row>
    <row r="595" spans="5:14">
      <c r="E595" s="3222"/>
      <c r="N595" s="3222"/>
    </row>
    <row r="596" spans="5:14">
      <c r="E596" s="3222"/>
      <c r="N596" s="3222"/>
    </row>
    <row r="597" spans="5:14">
      <c r="E597" s="3222"/>
      <c r="N597" s="3222"/>
    </row>
    <row r="598" spans="5:14">
      <c r="E598" s="3222"/>
      <c r="N598" s="3222"/>
    </row>
    <row r="599" spans="5:14">
      <c r="E599" s="3222"/>
      <c r="N599" s="3222"/>
    </row>
    <row r="600" spans="5:14">
      <c r="E600" s="3222"/>
      <c r="N600" s="3222"/>
    </row>
    <row r="601" spans="5:14">
      <c r="E601" s="3222"/>
      <c r="N601" s="3222"/>
    </row>
    <row r="602" spans="5:14">
      <c r="E602" s="3222"/>
      <c r="N602" s="3222"/>
    </row>
    <row r="603" spans="5:14">
      <c r="E603" s="3222"/>
      <c r="N603" s="3222"/>
    </row>
    <row r="604" spans="5:14">
      <c r="E604" s="3222"/>
      <c r="N604" s="3222"/>
    </row>
    <row r="605" spans="5:14">
      <c r="E605" s="3222"/>
      <c r="N605" s="3222"/>
    </row>
    <row r="606" spans="5:14">
      <c r="E606" s="3222"/>
      <c r="N606" s="3222"/>
    </row>
    <row r="607" spans="5:14">
      <c r="E607" s="3222"/>
      <c r="N607" s="3222"/>
    </row>
    <row r="608" spans="5:14">
      <c r="E608" s="3222"/>
      <c r="N608" s="3222"/>
    </row>
    <row r="609" spans="5:14">
      <c r="E609" s="3222"/>
      <c r="N609" s="3222"/>
    </row>
    <row r="610" spans="5:14">
      <c r="E610" s="3222"/>
      <c r="N610" s="3222"/>
    </row>
    <row r="611" spans="5:14">
      <c r="E611" s="3222"/>
      <c r="N611" s="3222"/>
    </row>
    <row r="612" spans="5:14">
      <c r="E612" s="3222"/>
      <c r="N612" s="3222"/>
    </row>
    <row r="613" spans="5:14">
      <c r="E613" s="3222"/>
      <c r="N613" s="3222"/>
    </row>
    <row r="614" spans="5:14">
      <c r="E614" s="3222"/>
      <c r="N614" s="3222"/>
    </row>
    <row r="615" spans="5:14">
      <c r="E615" s="3222"/>
      <c r="N615" s="3222"/>
    </row>
    <row r="616" spans="5:14">
      <c r="E616" s="3222"/>
      <c r="N616" s="3222"/>
    </row>
    <row r="617" spans="5:14">
      <c r="E617" s="3222"/>
      <c r="N617" s="3222"/>
    </row>
    <row r="618" spans="5:14">
      <c r="E618" s="3222"/>
      <c r="N618" s="3222"/>
    </row>
    <row r="619" spans="5:14">
      <c r="E619" s="3222"/>
      <c r="N619" s="3222"/>
    </row>
    <row r="620" spans="5:14">
      <c r="E620" s="3222"/>
      <c r="N620" s="3222"/>
    </row>
    <row r="621" spans="5:14">
      <c r="E621" s="3222"/>
      <c r="N621" s="3222"/>
    </row>
    <row r="622" spans="5:14">
      <c r="E622" s="3222"/>
      <c r="N622" s="3222"/>
    </row>
    <row r="623" spans="5:14">
      <c r="E623" s="3222"/>
      <c r="N623" s="3222"/>
    </row>
    <row r="624" spans="5:14">
      <c r="E624" s="3222"/>
      <c r="N624" s="3222"/>
    </row>
    <row r="625" spans="5:14">
      <c r="E625" s="3222"/>
      <c r="N625" s="3222"/>
    </row>
    <row r="626" spans="5:14">
      <c r="E626" s="3222"/>
      <c r="N626" s="3222"/>
    </row>
    <row r="627" spans="5:14">
      <c r="E627" s="3222"/>
      <c r="N627" s="3222"/>
    </row>
    <row r="628" spans="5:14">
      <c r="E628" s="3222"/>
      <c r="N628" s="3222"/>
    </row>
    <row r="629" spans="5:14">
      <c r="E629" s="3222"/>
      <c r="N629" s="3222"/>
    </row>
    <row r="630" spans="5:14">
      <c r="E630" s="3222"/>
      <c r="N630" s="3222"/>
    </row>
    <row r="631" spans="5:14">
      <c r="E631" s="3222"/>
      <c r="N631" s="3222"/>
    </row>
    <row r="632" spans="5:14">
      <c r="E632" s="3222"/>
      <c r="N632" s="3222"/>
    </row>
    <row r="633" spans="5:14">
      <c r="E633" s="3222"/>
      <c r="N633" s="3222"/>
    </row>
    <row r="634" spans="5:14">
      <c r="E634" s="3222"/>
      <c r="N634" s="3222"/>
    </row>
    <row r="635" spans="5:14">
      <c r="E635" s="3222"/>
      <c r="N635" s="3222"/>
    </row>
    <row r="636" spans="5:14">
      <c r="E636" s="3222"/>
      <c r="N636" s="3222"/>
    </row>
    <row r="637" spans="5:14">
      <c r="E637" s="3222"/>
      <c r="N637" s="3222"/>
    </row>
    <row r="638" spans="5:14">
      <c r="E638" s="3222"/>
      <c r="N638" s="3222"/>
    </row>
    <row r="639" spans="5:14">
      <c r="E639" s="3222"/>
      <c r="N639" s="3222"/>
    </row>
    <row r="640" spans="5:14">
      <c r="E640" s="3222"/>
      <c r="N640" s="3222"/>
    </row>
    <row r="641" spans="5:14">
      <c r="E641" s="3222"/>
      <c r="N641" s="3222"/>
    </row>
    <row r="642" spans="5:14">
      <c r="E642" s="3222"/>
      <c r="N642" s="3222"/>
    </row>
    <row r="643" spans="5:14">
      <c r="E643" s="3222"/>
      <c r="N643" s="3222"/>
    </row>
    <row r="644" spans="5:14">
      <c r="E644" s="3222"/>
      <c r="N644" s="3222"/>
    </row>
    <row r="645" spans="5:14">
      <c r="E645" s="3222"/>
      <c r="N645" s="3222"/>
    </row>
    <row r="646" spans="5:14">
      <c r="E646" s="3222"/>
      <c r="N646" s="3222"/>
    </row>
    <row r="647" spans="5:14">
      <c r="E647" s="3222"/>
      <c r="N647" s="3222"/>
    </row>
    <row r="648" spans="5:14">
      <c r="E648" s="3222"/>
      <c r="N648" s="3222"/>
    </row>
    <row r="649" spans="5:14">
      <c r="E649" s="3222"/>
      <c r="N649" s="3222"/>
    </row>
    <row r="650" spans="5:14">
      <c r="E650" s="3222"/>
      <c r="N650" s="3222"/>
    </row>
    <row r="651" spans="5:14">
      <c r="E651" s="3222"/>
      <c r="N651" s="3222"/>
    </row>
    <row r="652" spans="5:14">
      <c r="E652" s="3222"/>
      <c r="N652" s="3222"/>
    </row>
    <row r="653" spans="5:14">
      <c r="E653" s="3222"/>
      <c r="N653" s="3222"/>
    </row>
    <row r="654" spans="5:14">
      <c r="E654" s="3222"/>
      <c r="N654" s="3222"/>
    </row>
    <row r="655" spans="5:14">
      <c r="E655" s="3222"/>
      <c r="N655" s="3222"/>
    </row>
    <row r="656" spans="5:14">
      <c r="E656" s="3222"/>
      <c r="N656" s="3222"/>
    </row>
    <row r="657" spans="5:14">
      <c r="E657" s="3222"/>
      <c r="N657" s="3222"/>
    </row>
    <row r="658" spans="5:14">
      <c r="E658" s="3222"/>
      <c r="N658" s="3222"/>
    </row>
    <row r="659" spans="5:14">
      <c r="E659" s="3222"/>
      <c r="N659" s="3222"/>
    </row>
    <row r="660" spans="5:14">
      <c r="E660" s="3222"/>
      <c r="N660" s="3222"/>
    </row>
    <row r="661" spans="5:14">
      <c r="E661" s="3222"/>
      <c r="N661" s="3222"/>
    </row>
    <row r="662" spans="5:14">
      <c r="E662" s="3222"/>
      <c r="N662" s="3222"/>
    </row>
    <row r="663" spans="5:14">
      <c r="E663" s="3222"/>
      <c r="N663" s="3222"/>
    </row>
    <row r="664" spans="5:14">
      <c r="E664" s="3222"/>
      <c r="N664" s="3222"/>
    </row>
    <row r="665" spans="5:14">
      <c r="E665" s="3222"/>
      <c r="N665" s="3222"/>
    </row>
    <row r="666" spans="5:14">
      <c r="E666" s="3222"/>
      <c r="N666" s="3222"/>
    </row>
    <row r="667" spans="5:14">
      <c r="E667" s="3222"/>
      <c r="N667" s="3222"/>
    </row>
    <row r="668" spans="5:14">
      <c r="E668" s="3222"/>
      <c r="N668" s="3222"/>
    </row>
    <row r="669" spans="5:14">
      <c r="E669" s="3222"/>
      <c r="N669" s="3222"/>
    </row>
    <row r="670" spans="5:14">
      <c r="E670" s="3222"/>
      <c r="N670" s="3222"/>
    </row>
    <row r="671" spans="5:14">
      <c r="E671" s="3222"/>
      <c r="N671" s="3222"/>
    </row>
    <row r="672" spans="5:14">
      <c r="E672" s="3222"/>
      <c r="N672" s="3222"/>
    </row>
    <row r="673" spans="5:14">
      <c r="E673" s="3222"/>
      <c r="N673" s="3222"/>
    </row>
    <row r="674" spans="5:14">
      <c r="E674" s="3222"/>
      <c r="N674" s="3222"/>
    </row>
    <row r="675" spans="5:14">
      <c r="E675" s="3222"/>
      <c r="N675" s="3222"/>
    </row>
    <row r="676" spans="5:14">
      <c r="E676" s="3222"/>
      <c r="N676" s="3222"/>
    </row>
    <row r="677" spans="5:14">
      <c r="E677" s="3222"/>
      <c r="N677" s="3222"/>
    </row>
    <row r="678" spans="5:14">
      <c r="E678" s="3222"/>
      <c r="N678" s="3222"/>
    </row>
    <row r="679" spans="5:14">
      <c r="E679" s="3222"/>
      <c r="N679" s="3222"/>
    </row>
    <row r="680" spans="5:14">
      <c r="E680" s="3222"/>
      <c r="N680" s="3222"/>
    </row>
    <row r="681" spans="5:14">
      <c r="E681" s="3222"/>
      <c r="N681" s="3222"/>
    </row>
    <row r="682" spans="5:14">
      <c r="E682" s="3222"/>
      <c r="N682" s="3222"/>
    </row>
    <row r="683" spans="5:14">
      <c r="E683" s="3222"/>
      <c r="N683" s="3222"/>
    </row>
    <row r="684" spans="5:14">
      <c r="E684" s="3222"/>
      <c r="N684" s="3222"/>
    </row>
    <row r="685" spans="5:14">
      <c r="E685" s="3222"/>
      <c r="N685" s="3222"/>
    </row>
    <row r="686" spans="5:14">
      <c r="E686" s="3222"/>
      <c r="N686" s="3222"/>
    </row>
    <row r="687" spans="5:14">
      <c r="E687" s="3222"/>
      <c r="N687" s="3222"/>
    </row>
    <row r="688" spans="5:14">
      <c r="E688" s="3222"/>
      <c r="N688" s="3222"/>
    </row>
    <row r="689" spans="5:14">
      <c r="E689" s="3222"/>
      <c r="N689" s="3222"/>
    </row>
    <row r="690" spans="5:14">
      <c r="E690" s="3222"/>
      <c r="N690" s="3222"/>
    </row>
    <row r="691" spans="5:14">
      <c r="E691" s="3222"/>
      <c r="N691" s="3222"/>
    </row>
    <row r="692" spans="5:14">
      <c r="E692" s="3222"/>
      <c r="N692" s="3222"/>
    </row>
    <row r="693" spans="5:14">
      <c r="E693" s="3222"/>
      <c r="N693" s="3222"/>
    </row>
    <row r="694" spans="5:14">
      <c r="E694" s="3222"/>
      <c r="N694" s="3222"/>
    </row>
    <row r="695" spans="5:14">
      <c r="E695" s="3222"/>
      <c r="N695" s="3222"/>
    </row>
    <row r="696" spans="5:14">
      <c r="E696" s="3222"/>
      <c r="N696" s="3222"/>
    </row>
    <row r="697" spans="5:14">
      <c r="E697" s="3222"/>
      <c r="N697" s="3222"/>
    </row>
    <row r="698" spans="5:14">
      <c r="E698" s="3222"/>
      <c r="N698" s="3222"/>
    </row>
    <row r="699" spans="5:14">
      <c r="E699" s="3222"/>
      <c r="N699" s="3222"/>
    </row>
    <row r="700" spans="5:14">
      <c r="E700" s="3222"/>
      <c r="N700" s="3222"/>
    </row>
    <row r="701" spans="5:14">
      <c r="E701" s="3222"/>
      <c r="N701" s="3222"/>
    </row>
    <row r="702" spans="5:14">
      <c r="E702" s="3222"/>
      <c r="N702" s="3222"/>
    </row>
    <row r="703" spans="5:14">
      <c r="E703" s="3222"/>
      <c r="N703" s="3222"/>
    </row>
    <row r="704" spans="5:14">
      <c r="E704" s="3222"/>
      <c r="N704" s="3222"/>
    </row>
    <row r="705" spans="5:14">
      <c r="E705" s="3222"/>
      <c r="N705" s="3222"/>
    </row>
    <row r="706" spans="5:14">
      <c r="E706" s="3222"/>
      <c r="N706" s="3222"/>
    </row>
    <row r="707" spans="5:14">
      <c r="E707" s="3222"/>
      <c r="N707" s="3222"/>
    </row>
    <row r="708" spans="5:14">
      <c r="E708" s="3222"/>
      <c r="N708" s="3222"/>
    </row>
    <row r="709" spans="5:14">
      <c r="E709" s="3222"/>
      <c r="N709" s="3222"/>
    </row>
    <row r="710" spans="5:14">
      <c r="E710" s="3222"/>
      <c r="N710" s="3222"/>
    </row>
    <row r="711" spans="5:14">
      <c r="E711" s="3222"/>
      <c r="N711" s="3222"/>
    </row>
    <row r="712" spans="5:14">
      <c r="E712" s="3222"/>
      <c r="N712" s="3222"/>
    </row>
    <row r="713" spans="5:14">
      <c r="E713" s="3222"/>
      <c r="N713" s="3222"/>
    </row>
    <row r="714" spans="5:14">
      <c r="E714" s="3222"/>
      <c r="N714" s="3222"/>
    </row>
    <row r="715" spans="5:14">
      <c r="E715" s="3222"/>
      <c r="N715" s="3222"/>
    </row>
    <row r="716" spans="5:14">
      <c r="E716" s="3222"/>
      <c r="N716" s="3222"/>
    </row>
    <row r="717" spans="5:14">
      <c r="E717" s="3222"/>
      <c r="N717" s="3222"/>
    </row>
    <row r="718" spans="5:14">
      <c r="E718" s="3222"/>
      <c r="N718" s="3222"/>
    </row>
    <row r="719" spans="5:14">
      <c r="E719" s="3222"/>
      <c r="N719" s="3222"/>
    </row>
    <row r="720" spans="5:14">
      <c r="E720" s="3222"/>
      <c r="N720" s="3222"/>
    </row>
    <row r="721" spans="5:14">
      <c r="E721" s="3222"/>
      <c r="N721" s="3222"/>
    </row>
    <row r="722" spans="5:14">
      <c r="E722" s="3222"/>
      <c r="N722" s="3222"/>
    </row>
    <row r="723" spans="5:14">
      <c r="E723" s="3222"/>
      <c r="N723" s="3222"/>
    </row>
    <row r="724" spans="5:14">
      <c r="E724" s="3222"/>
      <c r="N724" s="3222"/>
    </row>
    <row r="725" spans="5:14">
      <c r="E725" s="3222"/>
      <c r="N725" s="3222"/>
    </row>
    <row r="726" spans="5:14">
      <c r="E726" s="3222"/>
      <c r="N726" s="3222"/>
    </row>
    <row r="727" spans="5:14">
      <c r="E727" s="3222"/>
      <c r="N727" s="3222"/>
    </row>
    <row r="728" spans="5:14">
      <c r="E728" s="3222"/>
      <c r="N728" s="3222"/>
    </row>
    <row r="729" spans="5:14">
      <c r="E729" s="3222"/>
      <c r="N729" s="3222"/>
    </row>
    <row r="730" spans="5:14">
      <c r="E730" s="3222"/>
      <c r="N730" s="3222"/>
    </row>
    <row r="731" spans="5:14">
      <c r="E731" s="3222"/>
      <c r="N731" s="3222"/>
    </row>
    <row r="732" spans="5:14">
      <c r="E732" s="3222"/>
      <c r="N732" s="3222"/>
    </row>
    <row r="733" spans="5:14">
      <c r="E733" s="3222"/>
      <c r="N733" s="3222"/>
    </row>
    <row r="734" spans="5:14">
      <c r="E734" s="3222"/>
      <c r="N734" s="3222"/>
    </row>
    <row r="735" spans="5:14">
      <c r="E735" s="3222"/>
      <c r="N735" s="3222"/>
    </row>
    <row r="736" spans="5:14">
      <c r="E736" s="3222"/>
      <c r="N736" s="3222"/>
    </row>
    <row r="737" spans="5:14">
      <c r="E737" s="3222"/>
      <c r="N737" s="3222"/>
    </row>
    <row r="738" spans="5:14">
      <c r="E738" s="3222"/>
      <c r="N738" s="3222"/>
    </row>
    <row r="739" spans="5:14">
      <c r="E739" s="3222"/>
      <c r="N739" s="3222"/>
    </row>
    <row r="740" spans="5:14">
      <c r="E740" s="3222"/>
      <c r="N740" s="3222"/>
    </row>
    <row r="741" spans="5:14">
      <c r="E741" s="3222"/>
      <c r="N741" s="3222"/>
    </row>
    <row r="742" spans="5:14">
      <c r="E742" s="3222"/>
      <c r="N742" s="3222"/>
    </row>
    <row r="743" spans="5:14">
      <c r="E743" s="3222"/>
      <c r="N743" s="3222"/>
    </row>
    <row r="744" spans="5:14">
      <c r="E744" s="3222"/>
      <c r="N744" s="3222"/>
    </row>
    <row r="745" spans="5:14">
      <c r="E745" s="3222"/>
      <c r="N745" s="3222"/>
    </row>
    <row r="746" spans="5:14">
      <c r="E746" s="3222"/>
      <c r="N746" s="3222"/>
    </row>
    <row r="747" spans="5:14">
      <c r="E747" s="3222"/>
      <c r="N747" s="3222"/>
    </row>
    <row r="748" spans="5:14">
      <c r="E748" s="3222"/>
      <c r="N748" s="3222"/>
    </row>
    <row r="749" spans="5:14">
      <c r="E749" s="3222"/>
      <c r="N749" s="3222"/>
    </row>
    <row r="750" spans="5:14">
      <c r="E750" s="3222"/>
      <c r="N750" s="3222"/>
    </row>
    <row r="751" spans="5:14">
      <c r="E751" s="3222"/>
      <c r="N751" s="3222"/>
    </row>
    <row r="752" spans="5:14">
      <c r="E752" s="3222"/>
      <c r="N752" s="3222"/>
    </row>
    <row r="753" spans="5:14">
      <c r="E753" s="3222"/>
      <c r="N753" s="3222"/>
    </row>
    <row r="754" spans="5:14">
      <c r="E754" s="3222"/>
      <c r="N754" s="3222"/>
    </row>
    <row r="755" spans="5:14">
      <c r="E755" s="3222"/>
      <c r="N755" s="3222"/>
    </row>
    <row r="756" spans="5:14">
      <c r="E756" s="3222"/>
      <c r="N756" s="3222"/>
    </row>
    <row r="757" spans="5:14">
      <c r="E757" s="3222"/>
      <c r="N757" s="3222"/>
    </row>
    <row r="758" spans="5:14">
      <c r="E758" s="3222"/>
      <c r="N758" s="3222"/>
    </row>
    <row r="759" spans="5:14">
      <c r="E759" s="3222"/>
      <c r="N759" s="3222"/>
    </row>
    <row r="760" spans="5:14">
      <c r="E760" s="3222"/>
      <c r="N760" s="3222"/>
    </row>
    <row r="761" spans="5:14">
      <c r="E761" s="3222"/>
      <c r="N761" s="3222"/>
    </row>
    <row r="762" spans="5:14">
      <c r="E762" s="3222"/>
      <c r="N762" s="3222"/>
    </row>
    <row r="763" spans="5:14">
      <c r="E763" s="3222"/>
      <c r="N763" s="3222"/>
    </row>
    <row r="764" spans="5:14">
      <c r="E764" s="3222"/>
      <c r="N764" s="3222"/>
    </row>
    <row r="765" spans="5:14">
      <c r="E765" s="3222"/>
      <c r="N765" s="3222"/>
    </row>
    <row r="766" spans="5:14">
      <c r="E766" s="3222"/>
      <c r="N766" s="3222"/>
    </row>
    <row r="767" spans="5:14">
      <c r="E767" s="3222"/>
      <c r="N767" s="3222"/>
    </row>
    <row r="768" spans="5:14">
      <c r="E768" s="3222"/>
      <c r="N768" s="3222"/>
    </row>
    <row r="769" spans="5:14">
      <c r="E769" s="3222"/>
      <c r="N769" s="3222"/>
    </row>
    <row r="770" spans="5:14">
      <c r="E770" s="3222"/>
      <c r="N770" s="3222"/>
    </row>
    <row r="771" spans="5:14">
      <c r="E771" s="3222"/>
      <c r="N771" s="3222"/>
    </row>
    <row r="772" spans="5:14">
      <c r="E772" s="3222"/>
      <c r="N772" s="3222"/>
    </row>
    <row r="773" spans="5:14">
      <c r="E773" s="3222"/>
      <c r="N773" s="3222"/>
    </row>
    <row r="774" spans="5:14">
      <c r="E774" s="3222"/>
      <c r="N774" s="3222"/>
    </row>
    <row r="775" spans="5:14">
      <c r="E775" s="3222"/>
      <c r="N775" s="3222"/>
    </row>
    <row r="776" spans="5:14">
      <c r="E776" s="3222"/>
      <c r="N776" s="3222"/>
    </row>
    <row r="777" spans="5:14">
      <c r="E777" s="3222"/>
      <c r="N777" s="3222"/>
    </row>
    <row r="778" spans="5:14">
      <c r="E778" s="3222"/>
      <c r="N778" s="3222"/>
    </row>
    <row r="779" spans="5:14">
      <c r="E779" s="3222"/>
      <c r="N779" s="3222"/>
    </row>
    <row r="780" spans="5:14">
      <c r="E780" s="3222"/>
      <c r="N780" s="3222"/>
    </row>
    <row r="781" spans="5:14">
      <c r="E781" s="3222"/>
      <c r="N781" s="3222"/>
    </row>
    <row r="782" spans="5:14">
      <c r="E782" s="3222"/>
      <c r="N782" s="3222"/>
    </row>
    <row r="783" spans="5:14">
      <c r="E783" s="3222"/>
      <c r="N783" s="3222"/>
    </row>
    <row r="784" spans="5:14">
      <c r="E784" s="3222"/>
      <c r="N784" s="3222"/>
    </row>
    <row r="785" spans="5:14">
      <c r="E785" s="3222"/>
      <c r="N785" s="3222"/>
    </row>
    <row r="786" spans="5:14">
      <c r="E786" s="3222"/>
      <c r="N786" s="3222"/>
    </row>
    <row r="787" spans="5:14">
      <c r="E787" s="3222"/>
      <c r="N787" s="3222"/>
    </row>
    <row r="788" spans="5:14">
      <c r="E788" s="3222"/>
      <c r="N788" s="3222"/>
    </row>
    <row r="789" spans="5:14">
      <c r="E789" s="3222"/>
      <c r="N789" s="3222"/>
    </row>
    <row r="790" spans="5:14">
      <c r="E790" s="3222"/>
      <c r="N790" s="3222"/>
    </row>
    <row r="791" spans="5:14">
      <c r="E791" s="3222"/>
      <c r="N791" s="3222"/>
    </row>
    <row r="792" spans="5:14">
      <c r="E792" s="3222"/>
      <c r="N792" s="3222"/>
    </row>
    <row r="793" spans="5:14">
      <c r="E793" s="3222"/>
      <c r="N793" s="3222"/>
    </row>
    <row r="794" spans="5:14">
      <c r="E794" s="3222"/>
      <c r="N794" s="3222"/>
    </row>
    <row r="795" spans="5:14">
      <c r="E795" s="3222"/>
      <c r="N795" s="3222"/>
    </row>
    <row r="796" spans="5:14">
      <c r="E796" s="3222"/>
      <c r="N796" s="3222"/>
    </row>
    <row r="797" spans="5:14">
      <c r="E797" s="3222"/>
      <c r="N797" s="3222"/>
    </row>
    <row r="798" spans="5:14">
      <c r="E798" s="3222"/>
      <c r="N798" s="3222"/>
    </row>
    <row r="799" spans="5:14">
      <c r="E799" s="3222"/>
      <c r="N799" s="3222"/>
    </row>
    <row r="800" spans="5:14">
      <c r="E800" s="3222"/>
      <c r="N800" s="3222"/>
    </row>
    <row r="801" spans="5:14">
      <c r="E801" s="3222"/>
      <c r="N801" s="3222"/>
    </row>
    <row r="802" spans="5:14">
      <c r="E802" s="3222"/>
      <c r="N802" s="3222"/>
    </row>
    <row r="803" spans="5:14">
      <c r="E803" s="3222"/>
      <c r="N803" s="3222"/>
    </row>
    <row r="804" spans="5:14">
      <c r="E804" s="3222"/>
      <c r="N804" s="3222"/>
    </row>
    <row r="805" spans="5:14">
      <c r="E805" s="3222"/>
      <c r="N805" s="3222"/>
    </row>
    <row r="806" spans="5:14">
      <c r="E806" s="3222"/>
      <c r="N806" s="3222"/>
    </row>
    <row r="807" spans="5:14">
      <c r="E807" s="3222"/>
      <c r="N807" s="3222"/>
    </row>
    <row r="808" spans="5:14">
      <c r="E808" s="3222"/>
      <c r="N808" s="3222"/>
    </row>
    <row r="809" spans="5:14">
      <c r="E809" s="3222"/>
      <c r="N809" s="3222"/>
    </row>
    <row r="810" spans="5:14">
      <c r="E810" s="3222"/>
      <c r="N810" s="3222"/>
    </row>
    <row r="811" spans="5:14">
      <c r="E811" s="3222"/>
      <c r="N811" s="3222"/>
    </row>
    <row r="812" spans="5:14">
      <c r="E812" s="3222"/>
      <c r="N812" s="3222"/>
    </row>
    <row r="813" spans="5:14">
      <c r="E813" s="3222"/>
      <c r="N813" s="3222"/>
    </row>
    <row r="814" spans="5:14">
      <c r="E814" s="3222"/>
      <c r="N814" s="3222"/>
    </row>
    <row r="815" spans="5:14">
      <c r="E815" s="3222"/>
      <c r="N815" s="3222"/>
    </row>
    <row r="816" spans="5:14">
      <c r="E816" s="3222"/>
      <c r="N816" s="3222"/>
    </row>
    <row r="817" spans="5:14">
      <c r="E817" s="3222"/>
      <c r="N817" s="3222"/>
    </row>
    <row r="818" spans="5:14">
      <c r="E818" s="3222"/>
      <c r="N818" s="3222"/>
    </row>
    <row r="819" spans="5:14">
      <c r="E819" s="3222"/>
      <c r="N819" s="3222"/>
    </row>
    <row r="820" spans="5:14">
      <c r="E820" s="3222"/>
      <c r="N820" s="3222"/>
    </row>
    <row r="821" spans="5:14">
      <c r="E821" s="3222"/>
      <c r="N821" s="3222"/>
    </row>
    <row r="822" spans="5:14">
      <c r="E822" s="3222"/>
      <c r="N822" s="3222"/>
    </row>
    <row r="823" spans="5:14">
      <c r="E823" s="3222"/>
      <c r="N823" s="3222"/>
    </row>
    <row r="824" spans="5:14">
      <c r="E824" s="3222"/>
      <c r="N824" s="3222"/>
    </row>
    <row r="825" spans="5:14">
      <c r="E825" s="3222"/>
      <c r="N825" s="3222"/>
    </row>
    <row r="826" spans="5:14">
      <c r="E826" s="3222"/>
      <c r="N826" s="3222"/>
    </row>
    <row r="827" spans="5:14">
      <c r="E827" s="3222"/>
      <c r="N827" s="3222"/>
    </row>
    <row r="828" spans="5:14">
      <c r="E828" s="3222"/>
      <c r="N828" s="3222"/>
    </row>
    <row r="829" spans="5:14">
      <c r="E829" s="3222"/>
      <c r="N829" s="3222"/>
    </row>
    <row r="830" spans="5:14">
      <c r="E830" s="3222"/>
      <c r="N830" s="3222"/>
    </row>
    <row r="831" spans="5:14">
      <c r="E831" s="3222"/>
      <c r="N831" s="3222"/>
    </row>
    <row r="832" spans="5:14">
      <c r="E832" s="3222"/>
      <c r="N832" s="3222"/>
    </row>
    <row r="833" spans="5:14">
      <c r="E833" s="3222"/>
      <c r="N833" s="3222"/>
    </row>
    <row r="834" spans="5:14">
      <c r="E834" s="3222"/>
      <c r="N834" s="3222"/>
    </row>
    <row r="835" spans="5:14">
      <c r="E835" s="3222"/>
      <c r="N835" s="3222"/>
    </row>
    <row r="836" spans="5:14">
      <c r="E836" s="3222"/>
      <c r="N836" s="3222"/>
    </row>
    <row r="837" spans="5:14">
      <c r="E837" s="3222"/>
      <c r="N837" s="3222"/>
    </row>
    <row r="838" spans="5:14">
      <c r="E838" s="3222"/>
      <c r="N838" s="3222"/>
    </row>
    <row r="839" spans="5:14">
      <c r="E839" s="3222"/>
      <c r="N839" s="3222"/>
    </row>
    <row r="840" spans="5:14">
      <c r="E840" s="3222"/>
      <c r="N840" s="3222"/>
    </row>
    <row r="841" spans="5:14">
      <c r="E841" s="3222"/>
      <c r="N841" s="3222"/>
    </row>
    <row r="842" spans="5:14">
      <c r="E842" s="3222"/>
      <c r="N842" s="3222"/>
    </row>
    <row r="843" spans="5:14">
      <c r="E843" s="3222"/>
      <c r="N843" s="3222"/>
    </row>
    <row r="844" spans="5:14">
      <c r="E844" s="3222"/>
      <c r="N844" s="3222"/>
    </row>
    <row r="845" spans="5:14">
      <c r="E845" s="3222"/>
      <c r="N845" s="3222"/>
    </row>
    <row r="846" spans="5:14">
      <c r="E846" s="3222"/>
      <c r="N846" s="3222"/>
    </row>
    <row r="847" spans="5:14">
      <c r="E847" s="3222"/>
      <c r="N847" s="3222"/>
    </row>
    <row r="848" spans="5:14">
      <c r="E848" s="3222"/>
      <c r="N848" s="3222"/>
    </row>
    <row r="849" spans="5:14">
      <c r="E849" s="3222"/>
      <c r="N849" s="3222"/>
    </row>
    <row r="850" spans="5:14">
      <c r="E850" s="3222"/>
      <c r="N850" s="3222"/>
    </row>
    <row r="851" spans="5:14">
      <c r="E851" s="3222"/>
      <c r="N851" s="3222"/>
    </row>
    <row r="852" spans="5:14">
      <c r="E852" s="3222"/>
      <c r="N852" s="3222"/>
    </row>
    <row r="853" spans="5:14">
      <c r="E853" s="3222"/>
      <c r="N853" s="3222"/>
    </row>
    <row r="854" spans="5:14">
      <c r="E854" s="3222"/>
      <c r="N854" s="3222"/>
    </row>
    <row r="855" spans="5:14">
      <c r="E855" s="3222"/>
      <c r="N855" s="3222"/>
    </row>
    <row r="856" spans="5:14">
      <c r="E856" s="3222"/>
      <c r="N856" s="3222"/>
    </row>
    <row r="857" spans="5:14">
      <c r="E857" s="3222"/>
      <c r="N857" s="3222"/>
    </row>
    <row r="858" spans="5:14">
      <c r="E858" s="3222"/>
      <c r="N858" s="3222"/>
    </row>
    <row r="859" spans="5:14">
      <c r="E859" s="3222"/>
      <c r="N859" s="3222"/>
    </row>
    <row r="860" spans="5:14">
      <c r="E860" s="3222"/>
      <c r="N860" s="3222"/>
    </row>
    <row r="861" spans="5:14">
      <c r="E861" s="3222"/>
      <c r="N861" s="3222"/>
    </row>
    <row r="862" spans="5:14">
      <c r="E862" s="3222"/>
      <c r="N862" s="3222"/>
    </row>
    <row r="863" spans="5:14">
      <c r="E863" s="3222"/>
      <c r="N863" s="3222"/>
    </row>
    <row r="864" spans="5:14">
      <c r="E864" s="3222"/>
      <c r="N864" s="3222"/>
    </row>
    <row r="865" spans="5:14">
      <c r="E865" s="3222"/>
      <c r="N865" s="3222"/>
    </row>
    <row r="866" spans="5:14">
      <c r="E866" s="3222"/>
      <c r="N866" s="3222"/>
    </row>
    <row r="867" spans="5:14">
      <c r="E867" s="3222"/>
      <c r="N867" s="3222"/>
    </row>
    <row r="868" spans="5:14">
      <c r="E868" s="3222"/>
      <c r="N868" s="3222"/>
    </row>
    <row r="869" spans="5:14">
      <c r="E869" s="3222"/>
      <c r="N869" s="3222"/>
    </row>
    <row r="870" spans="5:14">
      <c r="E870" s="3222"/>
      <c r="N870" s="3222"/>
    </row>
    <row r="871" spans="5:14">
      <c r="E871" s="3222"/>
      <c r="N871" s="3222"/>
    </row>
    <row r="872" spans="5:14">
      <c r="E872" s="3222"/>
      <c r="N872" s="3222"/>
    </row>
    <row r="873" spans="5:14">
      <c r="E873" s="3222"/>
      <c r="N873" s="3222"/>
    </row>
    <row r="874" spans="5:14">
      <c r="E874" s="3222"/>
      <c r="N874" s="3222"/>
    </row>
    <row r="875" spans="5:14">
      <c r="E875" s="3222"/>
      <c r="N875" s="3222"/>
    </row>
    <row r="876" spans="5:14">
      <c r="E876" s="3222"/>
      <c r="N876" s="3222"/>
    </row>
    <row r="877" spans="5:14">
      <c r="E877" s="3222"/>
      <c r="N877" s="3222"/>
    </row>
    <row r="878" spans="5:14">
      <c r="E878" s="3222"/>
      <c r="N878" s="3222"/>
    </row>
    <row r="879" spans="5:14">
      <c r="E879" s="3222"/>
      <c r="N879" s="3222"/>
    </row>
    <row r="880" spans="5:14">
      <c r="E880" s="3222"/>
      <c r="N880" s="3222"/>
    </row>
    <row r="881" spans="5:14">
      <c r="E881" s="3222"/>
      <c r="N881" s="3222"/>
    </row>
    <row r="882" spans="5:14">
      <c r="E882" s="3222"/>
      <c r="N882" s="3222"/>
    </row>
    <row r="883" spans="5:14">
      <c r="E883" s="3222"/>
      <c r="N883" s="3222"/>
    </row>
    <row r="884" spans="5:14">
      <c r="E884" s="3222"/>
      <c r="N884" s="3222"/>
    </row>
    <row r="885" spans="5:14">
      <c r="E885" s="3222"/>
      <c r="N885" s="3222"/>
    </row>
    <row r="886" spans="5:14">
      <c r="E886" s="3222"/>
      <c r="N886" s="3222"/>
    </row>
    <row r="887" spans="5:14">
      <c r="E887" s="3222"/>
      <c r="N887" s="3222"/>
    </row>
    <row r="888" spans="5:14">
      <c r="E888" s="3222"/>
      <c r="N888" s="3222"/>
    </row>
    <row r="889" spans="5:14">
      <c r="E889" s="3222"/>
      <c r="N889" s="3222"/>
    </row>
    <row r="890" spans="5:14">
      <c r="E890" s="3222"/>
      <c r="N890" s="3222"/>
    </row>
    <row r="891" spans="5:14">
      <c r="E891" s="3222"/>
      <c r="N891" s="3222"/>
    </row>
    <row r="892" spans="5:14">
      <c r="E892" s="3222"/>
      <c r="N892" s="3222"/>
    </row>
    <row r="893" spans="5:14">
      <c r="E893" s="3222"/>
      <c r="N893" s="3222"/>
    </row>
    <row r="894" spans="5:14">
      <c r="E894" s="3222"/>
      <c r="N894" s="3222"/>
    </row>
    <row r="895" spans="5:14">
      <c r="E895" s="3222"/>
      <c r="N895" s="3222"/>
    </row>
    <row r="896" spans="5:14">
      <c r="E896" s="3222"/>
      <c r="N896" s="3222"/>
    </row>
    <row r="897" spans="5:14">
      <c r="E897" s="3222"/>
      <c r="N897" s="3222"/>
    </row>
    <row r="898" spans="5:14">
      <c r="E898" s="3222"/>
      <c r="N898" s="3222"/>
    </row>
    <row r="899" spans="5:14">
      <c r="E899" s="3222"/>
      <c r="N899" s="3222"/>
    </row>
    <row r="900" spans="5:14">
      <c r="E900" s="3222"/>
      <c r="N900" s="3222"/>
    </row>
    <row r="901" spans="5:14">
      <c r="E901" s="3222"/>
      <c r="N901" s="3222"/>
    </row>
    <row r="902" spans="5:14">
      <c r="E902" s="3222"/>
      <c r="N902" s="3222"/>
    </row>
    <row r="903" spans="5:14">
      <c r="E903" s="3222"/>
      <c r="N903" s="3222"/>
    </row>
    <row r="904" spans="5:14">
      <c r="E904" s="3222"/>
      <c r="N904" s="3222"/>
    </row>
    <row r="905" spans="5:14">
      <c r="E905" s="3222"/>
      <c r="N905" s="3222"/>
    </row>
    <row r="906" spans="5:14">
      <c r="E906" s="3222"/>
      <c r="N906" s="3222"/>
    </row>
    <row r="907" spans="5:14">
      <c r="E907" s="3222"/>
      <c r="N907" s="3222"/>
    </row>
    <row r="908" spans="5:14">
      <c r="E908" s="3222"/>
      <c r="N908" s="3222"/>
    </row>
    <row r="909" spans="5:14">
      <c r="E909" s="3222"/>
      <c r="N909" s="3222"/>
    </row>
    <row r="910" spans="5:14">
      <c r="E910" s="3222"/>
      <c r="N910" s="3222"/>
    </row>
    <row r="911" spans="5:14">
      <c r="E911" s="3222"/>
      <c r="N911" s="3222"/>
    </row>
    <row r="912" spans="5:14">
      <c r="E912" s="3222"/>
      <c r="N912" s="3222"/>
    </row>
    <row r="913" spans="5:14">
      <c r="E913" s="3222"/>
      <c r="N913" s="3222"/>
    </row>
    <row r="914" spans="5:14">
      <c r="E914" s="3222"/>
      <c r="N914" s="3222"/>
    </row>
    <row r="915" spans="5:14">
      <c r="E915" s="3222"/>
      <c r="N915" s="3222"/>
    </row>
    <row r="916" spans="5:14">
      <c r="E916" s="3222"/>
      <c r="N916" s="3222"/>
    </row>
    <row r="917" spans="5:14">
      <c r="E917" s="3222"/>
      <c r="N917" s="3222"/>
    </row>
    <row r="918" spans="5:14">
      <c r="E918" s="3222"/>
      <c r="N918" s="3222"/>
    </row>
    <row r="919" spans="5:14">
      <c r="E919" s="3222"/>
      <c r="N919" s="3222"/>
    </row>
    <row r="920" spans="5:14">
      <c r="E920" s="3222"/>
      <c r="N920" s="3222"/>
    </row>
    <row r="921" spans="5:14">
      <c r="E921" s="3222"/>
      <c r="N921" s="3222"/>
    </row>
    <row r="922" spans="5:14">
      <c r="E922" s="3222"/>
      <c r="N922" s="3222"/>
    </row>
    <row r="923" spans="5:14">
      <c r="E923" s="3222"/>
      <c r="N923" s="3222"/>
    </row>
    <row r="924" spans="5:14">
      <c r="E924" s="3222"/>
      <c r="N924" s="3222"/>
    </row>
    <row r="925" spans="5:14">
      <c r="E925" s="3222"/>
      <c r="N925" s="3222"/>
    </row>
    <row r="926" spans="5:14">
      <c r="E926" s="3222"/>
      <c r="N926" s="3222"/>
    </row>
    <row r="927" spans="5:14">
      <c r="E927" s="3222"/>
      <c r="N927" s="3222"/>
    </row>
    <row r="928" spans="5:14">
      <c r="E928" s="3222"/>
      <c r="N928" s="3222"/>
    </row>
    <row r="929" spans="5:14">
      <c r="E929" s="3222"/>
      <c r="N929" s="3222"/>
    </row>
    <row r="930" spans="5:14">
      <c r="E930" s="3222"/>
      <c r="N930" s="3222"/>
    </row>
    <row r="931" spans="5:14">
      <c r="E931" s="3222"/>
      <c r="N931" s="3222"/>
    </row>
    <row r="932" spans="5:14">
      <c r="E932" s="3222"/>
      <c r="N932" s="3222"/>
    </row>
    <row r="933" spans="5:14">
      <c r="E933" s="3222"/>
      <c r="N933" s="3222"/>
    </row>
    <row r="934" spans="5:14">
      <c r="E934" s="3222"/>
      <c r="N934" s="3222"/>
    </row>
    <row r="935" spans="5:14">
      <c r="E935" s="3222"/>
      <c r="N935" s="3222"/>
    </row>
    <row r="936" spans="5:14">
      <c r="E936" s="3222"/>
      <c r="N936" s="3222"/>
    </row>
    <row r="937" spans="5:14">
      <c r="E937" s="3222"/>
      <c r="N937" s="3222"/>
    </row>
    <row r="938" spans="5:14">
      <c r="E938" s="3222"/>
      <c r="N938" s="3222"/>
    </row>
    <row r="939" spans="5:14">
      <c r="E939" s="3222"/>
      <c r="N939" s="3222"/>
    </row>
    <row r="940" spans="5:14">
      <c r="E940" s="3222"/>
      <c r="N940" s="3222"/>
    </row>
    <row r="941" spans="5:14">
      <c r="E941" s="3222"/>
      <c r="N941" s="3222"/>
    </row>
    <row r="942" spans="5:14">
      <c r="E942" s="3222"/>
      <c r="N942" s="3222"/>
    </row>
    <row r="943" spans="5:14">
      <c r="E943" s="3222"/>
      <c r="N943" s="3222"/>
    </row>
    <row r="944" spans="5:14">
      <c r="E944" s="3222"/>
      <c r="N944" s="3222"/>
    </row>
    <row r="945" spans="5:14">
      <c r="E945" s="3222"/>
      <c r="N945" s="3222"/>
    </row>
    <row r="946" spans="5:14">
      <c r="E946" s="3222"/>
      <c r="N946" s="3222"/>
    </row>
    <row r="947" spans="5:14">
      <c r="E947" s="3222"/>
      <c r="N947" s="3222"/>
    </row>
    <row r="948" spans="5:14">
      <c r="E948" s="3222"/>
      <c r="N948" s="3222"/>
    </row>
    <row r="949" spans="5:14">
      <c r="E949" s="3222"/>
      <c r="N949" s="3222"/>
    </row>
    <row r="950" spans="5:14">
      <c r="E950" s="3222"/>
      <c r="N950" s="3222"/>
    </row>
    <row r="951" spans="5:14">
      <c r="E951" s="3222"/>
      <c r="N951" s="3222"/>
    </row>
    <row r="952" spans="5:14">
      <c r="E952" s="3222"/>
      <c r="N952" s="3222"/>
    </row>
    <row r="953" spans="5:14">
      <c r="E953" s="3222"/>
      <c r="N953" s="3222"/>
    </row>
    <row r="954" spans="5:14">
      <c r="E954" s="3222"/>
      <c r="N954" s="3222"/>
    </row>
    <row r="955" spans="5:14">
      <c r="E955" s="3222"/>
      <c r="N955" s="3222"/>
    </row>
    <row r="956" spans="5:14">
      <c r="E956" s="3222"/>
      <c r="N956" s="3222"/>
    </row>
    <row r="957" spans="5:14">
      <c r="E957" s="3222"/>
      <c r="N957" s="3222"/>
    </row>
    <row r="958" spans="5:14">
      <c r="E958" s="3222"/>
      <c r="N958" s="3222"/>
    </row>
    <row r="959" spans="5:14">
      <c r="E959" s="3222"/>
      <c r="N959" s="3222"/>
    </row>
    <row r="960" spans="5:14">
      <c r="E960" s="3222"/>
      <c r="N960" s="3222"/>
    </row>
    <row r="961" spans="5:14">
      <c r="E961" s="3222"/>
      <c r="N961" s="3222"/>
    </row>
    <row r="962" spans="5:14">
      <c r="E962" s="3222"/>
      <c r="N962" s="3222"/>
    </row>
    <row r="963" spans="5:14">
      <c r="E963" s="3222"/>
      <c r="N963" s="3222"/>
    </row>
    <row r="964" spans="5:14">
      <c r="E964" s="3222"/>
      <c r="N964" s="3222"/>
    </row>
    <row r="965" spans="5:14">
      <c r="E965" s="3222"/>
      <c r="N965" s="3222"/>
    </row>
    <row r="966" spans="5:14">
      <c r="E966" s="3222"/>
      <c r="N966" s="3222"/>
    </row>
    <row r="967" spans="5:14">
      <c r="E967" s="3222"/>
      <c r="N967" s="3222"/>
    </row>
    <row r="968" spans="5:14">
      <c r="E968" s="3222"/>
      <c r="N968" s="3222"/>
    </row>
    <row r="969" spans="5:14">
      <c r="E969" s="3222"/>
      <c r="N969" s="3222"/>
    </row>
    <row r="970" spans="5:14">
      <c r="E970" s="3222"/>
      <c r="N970" s="3222"/>
    </row>
    <row r="971" spans="5:14">
      <c r="E971" s="3222"/>
      <c r="N971" s="3222"/>
    </row>
    <row r="972" spans="5:14">
      <c r="E972" s="3222"/>
      <c r="N972" s="3222"/>
    </row>
    <row r="973" spans="5:14">
      <c r="E973" s="3222"/>
      <c r="N973" s="3222"/>
    </row>
    <row r="974" spans="5:14">
      <c r="E974" s="3222"/>
      <c r="N974" s="3222"/>
    </row>
    <row r="975" spans="5:14">
      <c r="E975" s="3222"/>
      <c r="N975" s="3222"/>
    </row>
    <row r="976" spans="5:14">
      <c r="E976" s="3222"/>
      <c r="N976" s="3222"/>
    </row>
    <row r="977" spans="5:14">
      <c r="E977" s="3222"/>
      <c r="N977" s="3222"/>
    </row>
    <row r="978" spans="5:14">
      <c r="E978" s="3222"/>
      <c r="N978" s="3222"/>
    </row>
    <row r="979" spans="5:14">
      <c r="E979" s="3222"/>
      <c r="N979" s="3222"/>
    </row>
    <row r="980" spans="5:14">
      <c r="E980" s="3222"/>
      <c r="N980" s="3222"/>
    </row>
    <row r="981" spans="5:14">
      <c r="E981" s="3222"/>
      <c r="N981" s="3222"/>
    </row>
    <row r="982" spans="5:14">
      <c r="E982" s="3222"/>
      <c r="N982" s="3222"/>
    </row>
    <row r="983" spans="5:14">
      <c r="E983" s="3222"/>
      <c r="N983" s="3222"/>
    </row>
    <row r="984" spans="5:14">
      <c r="E984" s="3222"/>
      <c r="N984" s="3222"/>
    </row>
    <row r="985" spans="5:14">
      <c r="E985" s="3222"/>
      <c r="N985" s="3222"/>
    </row>
    <row r="986" spans="5:14">
      <c r="E986" s="3222"/>
      <c r="N986" s="3222"/>
    </row>
    <row r="987" spans="5:14">
      <c r="E987" s="3222"/>
      <c r="N987" s="3222"/>
    </row>
    <row r="988" spans="5:14">
      <c r="E988" s="3222"/>
      <c r="N988" s="3222"/>
    </row>
    <row r="989" spans="5:14">
      <c r="E989" s="3222"/>
      <c r="N989" s="3222"/>
    </row>
    <row r="990" spans="5:14">
      <c r="E990" s="3222"/>
      <c r="N990" s="3222"/>
    </row>
    <row r="991" spans="5:14">
      <c r="E991" s="3222"/>
      <c r="N991" s="3222"/>
    </row>
    <row r="992" spans="5:14">
      <c r="E992" s="3222"/>
      <c r="N992" s="3222"/>
    </row>
    <row r="993" spans="5:14">
      <c r="E993" s="3222"/>
      <c r="N993" s="3222"/>
    </row>
    <row r="994" spans="5:14">
      <c r="E994" s="3222"/>
      <c r="N994" s="3222"/>
    </row>
    <row r="995" spans="5:14">
      <c r="E995" s="3222"/>
      <c r="N995" s="3222"/>
    </row>
    <row r="996" spans="5:14">
      <c r="E996" s="3222"/>
      <c r="N996" s="3222"/>
    </row>
    <row r="997" spans="5:14">
      <c r="E997" s="3222"/>
      <c r="N997" s="3222"/>
    </row>
    <row r="998" spans="5:14">
      <c r="E998" s="3222"/>
      <c r="N998" s="3222"/>
    </row>
    <row r="999" spans="5:14">
      <c r="E999" s="3222"/>
      <c r="N999" s="3222"/>
    </row>
    <row r="1000" spans="5:14">
      <c r="E1000" s="3222"/>
      <c r="N1000" s="3222"/>
    </row>
    <row r="1001" spans="5:14">
      <c r="E1001" s="3222"/>
      <c r="N1001" s="3222"/>
    </row>
    <row r="1002" spans="5:14">
      <c r="E1002" s="3222"/>
      <c r="N1002" s="3222"/>
    </row>
    <row r="1003" spans="5:14">
      <c r="E1003" s="3222"/>
      <c r="N1003" s="3222"/>
    </row>
    <row r="1004" spans="5:14">
      <c r="E1004" s="3222"/>
      <c r="N1004" s="3222"/>
    </row>
    <row r="1005" spans="5:14">
      <c r="E1005" s="3222"/>
      <c r="N1005" s="3222"/>
    </row>
    <row r="1006" spans="5:14">
      <c r="E1006" s="3222"/>
      <c r="N1006" s="3222"/>
    </row>
    <row r="1007" spans="5:14">
      <c r="E1007" s="3222"/>
      <c r="N1007" s="3222"/>
    </row>
    <row r="1008" spans="5:14">
      <c r="E1008" s="3222"/>
      <c r="N1008" s="3222"/>
    </row>
    <row r="1009" spans="5:14">
      <c r="E1009" s="3222"/>
      <c r="N1009" s="3222"/>
    </row>
    <row r="1010" spans="5:14">
      <c r="E1010" s="3222"/>
      <c r="N1010" s="3222"/>
    </row>
    <row r="1011" spans="5:14">
      <c r="E1011" s="3222"/>
      <c r="N1011" s="3222"/>
    </row>
    <row r="1012" spans="5:14">
      <c r="E1012" s="3222"/>
      <c r="N1012" s="3222"/>
    </row>
    <row r="1013" spans="5:14">
      <c r="E1013" s="3222"/>
      <c r="N1013" s="3222"/>
    </row>
    <row r="1014" spans="5:14">
      <c r="E1014" s="3222"/>
      <c r="N1014" s="3222"/>
    </row>
    <row r="1015" spans="5:14">
      <c r="E1015" s="3222"/>
      <c r="N1015" s="3222"/>
    </row>
    <row r="1016" spans="5:14">
      <c r="E1016" s="3222"/>
      <c r="N1016" s="3222"/>
    </row>
    <row r="1017" spans="5:14">
      <c r="E1017" s="3222"/>
      <c r="N1017" s="3222"/>
    </row>
    <row r="1018" spans="5:14">
      <c r="E1018" s="3222"/>
      <c r="N1018" s="3222"/>
    </row>
    <row r="1019" spans="5:14">
      <c r="E1019" s="3222"/>
      <c r="N1019" s="3222"/>
    </row>
    <row r="1020" spans="5:14">
      <c r="E1020" s="3222"/>
      <c r="N1020" s="3222"/>
    </row>
    <row r="1021" spans="5:14">
      <c r="E1021" s="3222"/>
      <c r="N1021" s="3222"/>
    </row>
    <row r="1022" spans="5:14">
      <c r="E1022" s="3222"/>
      <c r="N1022" s="3222"/>
    </row>
    <row r="1023" spans="5:14">
      <c r="E1023" s="3222"/>
      <c r="N1023" s="3222"/>
    </row>
    <row r="1024" spans="5:14">
      <c r="E1024" s="3222"/>
      <c r="N1024" s="3222"/>
    </row>
    <row r="1025" spans="5:14">
      <c r="E1025" s="3222"/>
      <c r="N1025" s="3222"/>
    </row>
    <row r="1026" spans="5:14">
      <c r="E1026" s="3222"/>
      <c r="N1026" s="3222"/>
    </row>
    <row r="1027" spans="5:14">
      <c r="E1027" s="3222"/>
      <c r="N1027" s="3222"/>
    </row>
    <row r="1028" spans="5:14">
      <c r="E1028" s="3222"/>
      <c r="N1028" s="3222"/>
    </row>
    <row r="1029" spans="5:14">
      <c r="E1029" s="3222"/>
      <c r="N1029" s="3222"/>
    </row>
    <row r="1030" spans="5:14">
      <c r="E1030" s="3222"/>
      <c r="N1030" s="3222"/>
    </row>
    <row r="1031" spans="5:14">
      <c r="E1031" s="3222"/>
      <c r="N1031" s="3222"/>
    </row>
    <row r="1032" spans="5:14">
      <c r="E1032" s="3222"/>
      <c r="N1032" s="3222"/>
    </row>
    <row r="1033" spans="5:14">
      <c r="E1033" s="3222"/>
      <c r="N1033" s="3222"/>
    </row>
    <row r="1034" spans="5:14">
      <c r="E1034" s="3222"/>
      <c r="N1034" s="3222"/>
    </row>
    <row r="1035" spans="5:14">
      <c r="E1035" s="3222"/>
      <c r="N1035" s="3222"/>
    </row>
    <row r="1036" spans="5:14">
      <c r="E1036" s="3222"/>
      <c r="N1036" s="3222"/>
    </row>
    <row r="1037" spans="5:14">
      <c r="E1037" s="3222"/>
      <c r="N1037" s="3222"/>
    </row>
    <row r="1038" spans="5:14">
      <c r="E1038" s="3222"/>
      <c r="N1038" s="3222"/>
    </row>
    <row r="1039" spans="5:14">
      <c r="E1039" s="3222"/>
      <c r="N1039" s="3222"/>
    </row>
    <row r="1040" spans="5:14">
      <c r="E1040" s="3222"/>
      <c r="N1040" s="3222"/>
    </row>
    <row r="1041" spans="5:14">
      <c r="E1041" s="3222"/>
      <c r="N1041" s="3222"/>
    </row>
    <row r="1042" spans="5:14">
      <c r="E1042" s="3222"/>
      <c r="N1042" s="3222"/>
    </row>
    <row r="1043" spans="5:14">
      <c r="E1043" s="3222"/>
      <c r="N1043" s="3222"/>
    </row>
    <row r="1044" spans="5:14">
      <c r="E1044" s="3222"/>
      <c r="N1044" s="3222"/>
    </row>
    <row r="1045" spans="5:14">
      <c r="E1045" s="3222"/>
      <c r="N1045" s="3222"/>
    </row>
    <row r="1046" spans="5:14">
      <c r="E1046" s="3222"/>
      <c r="N1046" s="3222"/>
    </row>
    <row r="1047" spans="5:14">
      <c r="E1047" s="3222"/>
      <c r="N1047" s="3222"/>
    </row>
    <row r="1048" spans="5:14">
      <c r="E1048" s="3222"/>
      <c r="N1048" s="3222"/>
    </row>
    <row r="1049" spans="5:14">
      <c r="E1049" s="3222"/>
      <c r="N1049" s="3222"/>
    </row>
    <row r="1050" spans="5:14">
      <c r="E1050" s="3222"/>
      <c r="N1050" s="3222"/>
    </row>
    <row r="1051" spans="5:14">
      <c r="E1051" s="3222"/>
      <c r="N1051" s="3222"/>
    </row>
    <row r="1052" spans="5:14">
      <c r="E1052" s="3222"/>
      <c r="N1052" s="3222"/>
    </row>
    <row r="1053" spans="5:14">
      <c r="E1053" s="3222"/>
      <c r="N1053" s="3222"/>
    </row>
    <row r="1054" spans="5:14">
      <c r="E1054" s="3222"/>
      <c r="N1054" s="3222"/>
    </row>
    <row r="1055" spans="5:14">
      <c r="E1055" s="3222"/>
      <c r="N1055" s="3222"/>
    </row>
    <row r="1056" spans="5:14">
      <c r="E1056" s="3222"/>
      <c r="N1056" s="3222"/>
    </row>
    <row r="1057" spans="5:14">
      <c r="E1057" s="3222"/>
      <c r="N1057" s="3222"/>
    </row>
    <row r="1058" spans="5:14">
      <c r="E1058" s="3222"/>
      <c r="N1058" s="3222"/>
    </row>
    <row r="1059" spans="5:14">
      <c r="E1059" s="3222"/>
      <c r="N1059" s="3222"/>
    </row>
    <row r="1060" spans="5:14">
      <c r="E1060" s="3222"/>
      <c r="N1060" s="3222"/>
    </row>
    <row r="1061" spans="5:14">
      <c r="E1061" s="3222"/>
      <c r="N1061" s="3222"/>
    </row>
    <row r="1062" spans="5:14">
      <c r="E1062" s="3222"/>
      <c r="N1062" s="3222"/>
    </row>
    <row r="1063" spans="5:14">
      <c r="E1063" s="3222"/>
      <c r="N1063" s="3222"/>
    </row>
    <row r="1064" spans="5:14">
      <c r="E1064" s="3222"/>
      <c r="N1064" s="3222"/>
    </row>
    <row r="1065" spans="5:14">
      <c r="E1065" s="3222"/>
      <c r="N1065" s="3222"/>
    </row>
    <row r="1066" spans="5:14">
      <c r="E1066" s="3222"/>
      <c r="N1066" s="3222"/>
    </row>
    <row r="1067" spans="5:14">
      <c r="E1067" s="3222"/>
      <c r="N1067" s="3222"/>
    </row>
    <row r="1068" spans="5:14">
      <c r="E1068" s="3222"/>
      <c r="N1068" s="3222"/>
    </row>
    <row r="1069" spans="5:14">
      <c r="E1069" s="3222"/>
      <c r="N1069" s="3222"/>
    </row>
    <row r="1070" spans="5:14">
      <c r="E1070" s="3222"/>
      <c r="N1070" s="3222"/>
    </row>
    <row r="1071" spans="5:14">
      <c r="E1071" s="3222"/>
      <c r="N1071" s="3222"/>
    </row>
    <row r="1072" spans="5:14">
      <c r="E1072" s="3222"/>
      <c r="N1072" s="3222"/>
    </row>
    <row r="1073" spans="5:14">
      <c r="E1073" s="3222"/>
      <c r="N1073" s="3222"/>
    </row>
    <row r="1074" spans="5:14">
      <c r="E1074" s="3222"/>
      <c r="N1074" s="3222"/>
    </row>
    <row r="1075" spans="5:14">
      <c r="E1075" s="3222"/>
      <c r="N1075" s="3222"/>
    </row>
    <row r="1076" spans="5:14">
      <c r="E1076" s="3222"/>
      <c r="N1076" s="3222"/>
    </row>
    <row r="1077" spans="5:14">
      <c r="E1077" s="3222"/>
      <c r="N1077" s="3222"/>
    </row>
    <row r="1078" spans="5:14">
      <c r="E1078" s="3222"/>
      <c r="N1078" s="3222"/>
    </row>
    <row r="1079" spans="5:14">
      <c r="E1079" s="3222"/>
      <c r="N1079" s="3222"/>
    </row>
    <row r="1080" spans="5:14">
      <c r="E1080" s="3222"/>
      <c r="N1080" s="3222"/>
    </row>
    <row r="1081" spans="5:14">
      <c r="E1081" s="3222"/>
      <c r="N1081" s="3222"/>
    </row>
    <row r="1082" spans="5:14">
      <c r="E1082" s="3222"/>
      <c r="N1082" s="3222"/>
    </row>
    <row r="1083" spans="5:14">
      <c r="E1083" s="3222"/>
      <c r="N1083" s="3222"/>
    </row>
    <row r="1084" spans="5:14">
      <c r="E1084" s="3222"/>
      <c r="N1084" s="3222"/>
    </row>
    <row r="1085" spans="5:14">
      <c r="E1085" s="3222"/>
      <c r="N1085" s="3222"/>
    </row>
    <row r="1086" spans="5:14">
      <c r="E1086" s="3222"/>
      <c r="N1086" s="3222"/>
    </row>
    <row r="1087" spans="5:14">
      <c r="E1087" s="3222"/>
      <c r="N1087" s="3222"/>
    </row>
    <row r="1088" spans="5:14">
      <c r="E1088" s="3222"/>
      <c r="N1088" s="3222"/>
    </row>
    <row r="1089" spans="5:14">
      <c r="E1089" s="3222"/>
      <c r="N1089" s="3222"/>
    </row>
    <row r="1090" spans="5:14">
      <c r="E1090" s="3222"/>
      <c r="N1090" s="3222"/>
    </row>
    <row r="1091" spans="5:14">
      <c r="E1091" s="3222"/>
      <c r="N1091" s="3222"/>
    </row>
    <row r="1092" spans="5:14">
      <c r="E1092" s="3222"/>
      <c r="N1092" s="3222"/>
    </row>
    <row r="1093" spans="5:14">
      <c r="E1093" s="3222"/>
      <c r="N1093" s="3222"/>
    </row>
    <row r="1094" spans="5:14">
      <c r="E1094" s="3222"/>
      <c r="N1094" s="3222"/>
    </row>
    <row r="1095" spans="5:14">
      <c r="E1095" s="3222"/>
      <c r="N1095" s="3222"/>
    </row>
    <row r="1096" spans="5:14">
      <c r="E1096" s="3222"/>
      <c r="N1096" s="3222"/>
    </row>
    <row r="1097" spans="5:14">
      <c r="E1097" s="3222"/>
      <c r="N1097" s="3222"/>
    </row>
    <row r="1098" spans="5:14">
      <c r="E1098" s="3222"/>
      <c r="N1098" s="3222"/>
    </row>
    <row r="1099" spans="5:14">
      <c r="E1099" s="3222"/>
      <c r="N1099" s="3222"/>
    </row>
    <row r="1100" spans="5:14">
      <c r="E1100" s="3222"/>
      <c r="N1100" s="3222"/>
    </row>
    <row r="1101" spans="5:14">
      <c r="E1101" s="3222"/>
      <c r="N1101" s="3222"/>
    </row>
    <row r="1102" spans="5:14">
      <c r="E1102" s="3222"/>
      <c r="N1102" s="3222"/>
    </row>
    <row r="1103" spans="5:14">
      <c r="E1103" s="3222"/>
      <c r="N1103" s="3222"/>
    </row>
    <row r="1104" spans="5:14">
      <c r="E1104" s="3222"/>
      <c r="N1104" s="3222"/>
    </row>
    <row r="1105" spans="5:14">
      <c r="E1105" s="3222"/>
      <c r="N1105" s="3222"/>
    </row>
    <row r="1106" spans="5:14">
      <c r="E1106" s="3222"/>
      <c r="N1106" s="3222"/>
    </row>
    <row r="1107" spans="5:14">
      <c r="E1107" s="3222"/>
      <c r="N1107" s="3222"/>
    </row>
    <row r="1108" spans="5:14">
      <c r="E1108" s="3222"/>
      <c r="N1108" s="3222"/>
    </row>
    <row r="1109" spans="5:14">
      <c r="E1109" s="3222"/>
      <c r="N1109" s="3222"/>
    </row>
    <row r="1110" spans="5:14">
      <c r="E1110" s="3222"/>
      <c r="N1110" s="3222"/>
    </row>
    <row r="1111" spans="5:14">
      <c r="E1111" s="3222"/>
      <c r="N1111" s="3222"/>
    </row>
    <row r="1112" spans="5:14">
      <c r="E1112" s="3222"/>
      <c r="N1112" s="3222"/>
    </row>
    <row r="1113" spans="5:14">
      <c r="E1113" s="3222"/>
      <c r="N1113" s="3222"/>
    </row>
    <row r="1114" spans="5:14">
      <c r="E1114" s="3222"/>
      <c r="N1114" s="3222"/>
    </row>
    <row r="1115" spans="5:14">
      <c r="E1115" s="3222"/>
      <c r="N1115" s="3222"/>
    </row>
    <row r="1116" spans="5:14">
      <c r="E1116" s="3222"/>
      <c r="N1116" s="3222"/>
    </row>
    <row r="1117" spans="5:14">
      <c r="E1117" s="3222"/>
      <c r="N1117" s="3222"/>
    </row>
    <row r="1118" spans="5:14">
      <c r="E1118" s="3222"/>
      <c r="N1118" s="3222"/>
    </row>
    <row r="1119" spans="5:14">
      <c r="E1119" s="3222"/>
      <c r="N1119" s="3222"/>
    </row>
    <row r="1120" spans="5:14">
      <c r="E1120" s="3222"/>
      <c r="N1120" s="3222"/>
    </row>
    <row r="1121" spans="5:14">
      <c r="E1121" s="3222"/>
      <c r="N1121" s="3222"/>
    </row>
    <row r="1122" spans="5:14">
      <c r="E1122" s="3222"/>
      <c r="N1122" s="3222"/>
    </row>
    <row r="1123" spans="5:14">
      <c r="E1123" s="3222"/>
      <c r="N1123" s="3222"/>
    </row>
    <row r="1124" spans="5:14">
      <c r="E1124" s="3222"/>
      <c r="N1124" s="3222"/>
    </row>
    <row r="1125" spans="5:14">
      <c r="E1125" s="3222"/>
      <c r="N1125" s="3222"/>
    </row>
    <row r="1126" spans="5:14">
      <c r="E1126" s="3222"/>
      <c r="N1126" s="3222"/>
    </row>
    <row r="1127" spans="5:14">
      <c r="E1127" s="3222"/>
      <c r="N1127" s="3222"/>
    </row>
    <row r="1128" spans="5:14">
      <c r="E1128" s="3222"/>
      <c r="N1128" s="3222"/>
    </row>
    <row r="1129" spans="5:14">
      <c r="E1129" s="3222"/>
      <c r="N1129" s="3222"/>
    </row>
    <row r="1130" spans="5:14">
      <c r="E1130" s="3222"/>
      <c r="N1130" s="3222"/>
    </row>
    <row r="1131" spans="5:14">
      <c r="E1131" s="3222"/>
      <c r="N1131" s="3222"/>
    </row>
    <row r="1132" spans="5:14">
      <c r="E1132" s="3222"/>
      <c r="N1132" s="3222"/>
    </row>
    <row r="1133" spans="5:14">
      <c r="E1133" s="3222"/>
      <c r="N1133" s="3222"/>
    </row>
    <row r="1134" spans="5:14">
      <c r="E1134" s="3222"/>
      <c r="N1134" s="3222"/>
    </row>
    <row r="1135" spans="5:14">
      <c r="E1135" s="3222"/>
      <c r="N1135" s="3222"/>
    </row>
    <row r="1136" spans="5:14">
      <c r="E1136" s="3222"/>
      <c r="N1136" s="3222"/>
    </row>
    <row r="1137" spans="5:14">
      <c r="E1137" s="3222"/>
      <c r="N1137" s="3222"/>
    </row>
    <row r="1138" spans="5:14">
      <c r="E1138" s="3222"/>
      <c r="N1138" s="3222"/>
    </row>
    <row r="1139" spans="5:14">
      <c r="E1139" s="3222"/>
      <c r="N1139" s="3222"/>
    </row>
    <row r="1140" spans="5:14">
      <c r="E1140" s="3222"/>
      <c r="N1140" s="3222"/>
    </row>
    <row r="1141" spans="5:14">
      <c r="E1141" s="3222"/>
      <c r="N1141" s="3222"/>
    </row>
    <row r="1142" spans="5:14">
      <c r="E1142" s="3222"/>
      <c r="N1142" s="3222"/>
    </row>
    <row r="1143" spans="5:14">
      <c r="E1143" s="3222"/>
      <c r="N1143" s="3222"/>
    </row>
    <row r="1144" spans="5:14">
      <c r="E1144" s="3222"/>
      <c r="N1144" s="3222"/>
    </row>
    <row r="1145" spans="5:14">
      <c r="E1145" s="3222"/>
      <c r="N1145" s="3222"/>
    </row>
    <row r="1146" spans="5:14">
      <c r="E1146" s="3222"/>
      <c r="N1146" s="3222"/>
    </row>
    <row r="1147" spans="5:14">
      <c r="E1147" s="3222"/>
      <c r="N1147" s="3222"/>
    </row>
    <row r="1148" spans="5:14">
      <c r="E1148" s="3222"/>
      <c r="N1148" s="3222"/>
    </row>
    <row r="1149" spans="5:14">
      <c r="E1149" s="3222"/>
      <c r="N1149" s="3222"/>
    </row>
    <row r="1150" spans="5:14">
      <c r="E1150" s="3222"/>
      <c r="N1150" s="3222"/>
    </row>
    <row r="1151" spans="5:14">
      <c r="E1151" s="3222"/>
      <c r="N1151" s="3222"/>
    </row>
    <row r="1152" spans="5:14">
      <c r="E1152" s="3222"/>
      <c r="N1152" s="3222"/>
    </row>
    <row r="1153" spans="5:14">
      <c r="E1153" s="3222"/>
      <c r="N1153" s="3222"/>
    </row>
    <row r="1154" spans="5:14">
      <c r="E1154" s="3222"/>
      <c r="N1154" s="3222"/>
    </row>
    <row r="1155" spans="5:14">
      <c r="E1155" s="3222"/>
      <c r="N1155" s="3222"/>
    </row>
    <row r="1156" spans="5:14">
      <c r="E1156" s="3222"/>
      <c r="N1156" s="3222"/>
    </row>
    <row r="1157" spans="5:14">
      <c r="E1157" s="3222"/>
      <c r="N1157" s="3222"/>
    </row>
    <row r="1158" spans="5:14">
      <c r="E1158" s="3222"/>
      <c r="N1158" s="3222"/>
    </row>
    <row r="1159" spans="5:14">
      <c r="E1159" s="3222"/>
      <c r="N1159" s="3222"/>
    </row>
    <row r="1160" spans="5:14">
      <c r="E1160" s="3222"/>
      <c r="N1160" s="3222"/>
    </row>
    <row r="1161" spans="5:14">
      <c r="E1161" s="3222"/>
      <c r="N1161" s="3222"/>
    </row>
    <row r="1162" spans="5:14">
      <c r="E1162" s="3222"/>
      <c r="N1162" s="3222"/>
    </row>
    <row r="1163" spans="5:14">
      <c r="E1163" s="3222"/>
      <c r="N1163" s="3222"/>
    </row>
    <row r="1164" spans="5:14">
      <c r="E1164" s="3222"/>
      <c r="N1164" s="3222"/>
    </row>
    <row r="1165" spans="5:14">
      <c r="E1165" s="3222"/>
      <c r="N1165" s="3222"/>
    </row>
    <row r="1166" spans="5:14">
      <c r="E1166" s="3222"/>
      <c r="N1166" s="3222"/>
    </row>
    <row r="1167" spans="5:14">
      <c r="E1167" s="3222"/>
      <c r="N1167" s="3222"/>
    </row>
    <row r="1168" spans="5:14">
      <c r="E1168" s="3222"/>
      <c r="N1168" s="3222"/>
    </row>
    <row r="1169" spans="5:14">
      <c r="E1169" s="3222"/>
      <c r="N1169" s="3222"/>
    </row>
    <row r="1170" spans="5:14">
      <c r="E1170" s="3222"/>
      <c r="N1170" s="3222"/>
    </row>
    <row r="1171" spans="5:14">
      <c r="E1171" s="3222"/>
      <c r="N1171" s="3222"/>
    </row>
    <row r="1172" spans="5:14">
      <c r="E1172" s="3222"/>
      <c r="N1172" s="3222"/>
    </row>
    <row r="1173" spans="5:14">
      <c r="E1173" s="3222"/>
      <c r="N1173" s="3222"/>
    </row>
    <row r="1174" spans="5:14">
      <c r="E1174" s="3222"/>
      <c r="N1174" s="3222"/>
    </row>
    <row r="1175" spans="5:14">
      <c r="E1175" s="3222"/>
      <c r="N1175" s="3222"/>
    </row>
    <row r="1176" spans="5:14">
      <c r="E1176" s="3222"/>
      <c r="N1176" s="3222"/>
    </row>
    <row r="1177" spans="5:14">
      <c r="E1177" s="3222"/>
      <c r="N1177" s="3222"/>
    </row>
    <row r="1178" spans="5:14">
      <c r="E1178" s="3222"/>
      <c r="N1178" s="3222"/>
    </row>
    <row r="1179" spans="5:14">
      <c r="E1179" s="3222"/>
      <c r="N1179" s="3222"/>
    </row>
    <row r="1180" spans="5:14">
      <c r="E1180" s="3222"/>
      <c r="N1180" s="3222"/>
    </row>
    <row r="1181" spans="5:14">
      <c r="E1181" s="3222"/>
      <c r="N1181" s="3222"/>
    </row>
    <row r="1182" spans="5:14">
      <c r="E1182" s="3222"/>
      <c r="N1182" s="3222"/>
    </row>
    <row r="1183" spans="5:14">
      <c r="E1183" s="3222"/>
      <c r="N1183" s="3222"/>
    </row>
    <row r="1184" spans="5:14">
      <c r="E1184" s="3222"/>
      <c r="N1184" s="3222"/>
    </row>
    <row r="1185" spans="5:14">
      <c r="E1185" s="3222"/>
      <c r="N1185" s="3222"/>
    </row>
    <row r="1186" spans="5:14">
      <c r="E1186" s="3222"/>
      <c r="N1186" s="3222"/>
    </row>
    <row r="1187" spans="5:14">
      <c r="E1187" s="3222"/>
      <c r="N1187" s="3222"/>
    </row>
    <row r="1188" spans="5:14">
      <c r="E1188" s="3222"/>
      <c r="N1188" s="3222"/>
    </row>
    <row r="1189" spans="5:14">
      <c r="E1189" s="3222"/>
      <c r="N1189" s="3222"/>
    </row>
    <row r="1190" spans="5:14">
      <c r="E1190" s="3222"/>
      <c r="N1190" s="3222"/>
    </row>
    <row r="1191" spans="5:14">
      <c r="E1191" s="3222"/>
      <c r="N1191" s="3222"/>
    </row>
    <row r="1192" spans="5:14">
      <c r="E1192" s="3222"/>
      <c r="N1192" s="3222"/>
    </row>
    <row r="1193" spans="5:14">
      <c r="E1193" s="3222"/>
      <c r="N1193" s="3222"/>
    </row>
    <row r="1194" spans="5:14">
      <c r="E1194" s="3222"/>
      <c r="N1194" s="3222"/>
    </row>
    <row r="1195" spans="5:14">
      <c r="E1195" s="3222"/>
      <c r="N1195" s="3222"/>
    </row>
    <row r="1196" spans="5:14">
      <c r="E1196" s="3222"/>
      <c r="N1196" s="3222"/>
    </row>
    <row r="1197" spans="5:14">
      <c r="E1197" s="3222"/>
      <c r="N1197" s="3222"/>
    </row>
    <row r="1198" spans="5:14">
      <c r="E1198" s="3222"/>
      <c r="N1198" s="3222"/>
    </row>
    <row r="1199" spans="5:14">
      <c r="E1199" s="3222"/>
      <c r="N1199" s="3222"/>
    </row>
    <row r="1200" spans="5:14">
      <c r="E1200" s="3222"/>
      <c r="N1200" s="3222"/>
    </row>
    <row r="1201" spans="5:14">
      <c r="E1201" s="3222"/>
      <c r="N1201" s="3222"/>
    </row>
    <row r="1202" spans="5:14">
      <c r="E1202" s="3222"/>
      <c r="N1202" s="3222"/>
    </row>
    <row r="1203" spans="5:14">
      <c r="E1203" s="3222"/>
      <c r="N1203" s="3222"/>
    </row>
    <row r="1204" spans="5:14">
      <c r="E1204" s="3222"/>
      <c r="N1204" s="3222"/>
    </row>
    <row r="1205" spans="5:14">
      <c r="E1205" s="3222"/>
      <c r="N1205" s="3222"/>
    </row>
    <row r="1206" spans="5:14">
      <c r="E1206" s="3222"/>
      <c r="N1206" s="3222"/>
    </row>
    <row r="1207" spans="5:14">
      <c r="E1207" s="3222"/>
      <c r="N1207" s="3222"/>
    </row>
    <row r="1208" spans="5:14">
      <c r="E1208" s="3222"/>
      <c r="N1208" s="3222"/>
    </row>
    <row r="1209" spans="5:14">
      <c r="E1209" s="3222"/>
      <c r="N1209" s="3222"/>
    </row>
    <row r="1210" spans="5:14">
      <c r="E1210" s="3222"/>
      <c r="N1210" s="3222"/>
    </row>
    <row r="1211" spans="5:14">
      <c r="E1211" s="3222"/>
      <c r="N1211" s="3222"/>
    </row>
    <row r="1212" spans="5:14">
      <c r="E1212" s="3222"/>
      <c r="N1212" s="3222"/>
    </row>
    <row r="1213" spans="5:14">
      <c r="E1213" s="3222"/>
      <c r="N1213" s="3222"/>
    </row>
    <row r="1214" spans="5:14">
      <c r="E1214" s="3222"/>
      <c r="N1214" s="3222"/>
    </row>
    <row r="1215" spans="5:14">
      <c r="E1215" s="3222"/>
      <c r="N1215" s="3222"/>
    </row>
    <row r="1216" spans="5:14">
      <c r="E1216" s="3222"/>
      <c r="N1216" s="3222"/>
    </row>
    <row r="1217" spans="5:14">
      <c r="E1217" s="3222"/>
      <c r="N1217" s="3222"/>
    </row>
    <row r="1218" spans="5:14">
      <c r="E1218" s="3222"/>
      <c r="N1218" s="3222"/>
    </row>
    <row r="1219" spans="5:14">
      <c r="E1219" s="3222"/>
      <c r="N1219" s="3222"/>
    </row>
    <row r="1220" spans="5:14">
      <c r="E1220" s="3222"/>
      <c r="N1220" s="3222"/>
    </row>
    <row r="1221" spans="5:14">
      <c r="E1221" s="3222"/>
      <c r="N1221" s="3222"/>
    </row>
    <row r="1222" spans="5:14">
      <c r="E1222" s="3222"/>
      <c r="N1222" s="3222"/>
    </row>
    <row r="1223" spans="5:14">
      <c r="E1223" s="3222"/>
      <c r="N1223" s="3222"/>
    </row>
    <row r="1224" spans="5:14">
      <c r="E1224" s="3222"/>
      <c r="N1224" s="3222"/>
    </row>
    <row r="1225" spans="5:14">
      <c r="E1225" s="3222"/>
      <c r="N1225" s="3222"/>
    </row>
    <row r="1226" spans="5:14">
      <c r="E1226" s="3222"/>
      <c r="N1226" s="3222"/>
    </row>
    <row r="1227" spans="5:14">
      <c r="E1227" s="3222"/>
      <c r="N1227" s="3222"/>
    </row>
    <row r="1228" spans="5:14">
      <c r="E1228" s="3222"/>
      <c r="N1228" s="3222"/>
    </row>
    <row r="1229" spans="5:14">
      <c r="E1229" s="3222"/>
      <c r="N1229" s="3222"/>
    </row>
    <row r="1230" spans="5:14">
      <c r="E1230" s="3222"/>
      <c r="N1230" s="3222"/>
    </row>
    <row r="1231" spans="5:14">
      <c r="E1231" s="3222"/>
      <c r="N1231" s="3222"/>
    </row>
    <row r="1232" spans="5:14">
      <c r="E1232" s="3222"/>
      <c r="N1232" s="3222"/>
    </row>
    <row r="1233" spans="5:14">
      <c r="E1233" s="3222"/>
      <c r="N1233" s="3222"/>
    </row>
    <row r="1234" spans="5:14">
      <c r="E1234" s="3222"/>
      <c r="N1234" s="3222"/>
    </row>
    <row r="1235" spans="5:14">
      <c r="E1235" s="3222"/>
      <c r="N1235" s="3222"/>
    </row>
    <row r="1236" spans="5:14">
      <c r="E1236" s="3222"/>
      <c r="N1236" s="3222"/>
    </row>
    <row r="1237" spans="5:14">
      <c r="E1237" s="3222"/>
      <c r="N1237" s="3222"/>
    </row>
    <row r="1238" spans="5:14">
      <c r="E1238" s="3222"/>
      <c r="N1238" s="3222"/>
    </row>
    <row r="1239" spans="5:14">
      <c r="E1239" s="3222"/>
      <c r="N1239" s="3222"/>
    </row>
    <row r="1240" spans="5:14">
      <c r="E1240" s="3222"/>
      <c r="N1240" s="3222"/>
    </row>
    <row r="1241" spans="5:14">
      <c r="E1241" s="3222"/>
      <c r="N1241" s="3222"/>
    </row>
    <row r="1242" spans="5:14">
      <c r="E1242" s="3222"/>
      <c r="N1242" s="3222"/>
    </row>
    <row r="1243" spans="5:14">
      <c r="E1243" s="3222"/>
      <c r="N1243" s="3222"/>
    </row>
    <row r="1244" spans="5:14">
      <c r="E1244" s="3222"/>
      <c r="N1244" s="3222"/>
    </row>
    <row r="1245" spans="5:14">
      <c r="E1245" s="3222"/>
      <c r="N1245" s="3222"/>
    </row>
    <row r="1246" spans="5:14">
      <c r="E1246" s="3222"/>
      <c r="N1246" s="3222"/>
    </row>
    <row r="1247" spans="5:14">
      <c r="E1247" s="3222"/>
      <c r="N1247" s="3222"/>
    </row>
    <row r="1248" spans="5:14">
      <c r="E1248" s="3222"/>
      <c r="N1248" s="3222"/>
    </row>
    <row r="1249" spans="5:14">
      <c r="E1249" s="3222"/>
      <c r="N1249" s="3222"/>
    </row>
    <row r="1250" spans="5:14">
      <c r="E1250" s="3222"/>
      <c r="N1250" s="3222"/>
    </row>
    <row r="1251" spans="5:14">
      <c r="E1251" s="3222"/>
      <c r="N1251" s="3222"/>
    </row>
    <row r="1252" spans="5:14">
      <c r="E1252" s="3222"/>
      <c r="N1252" s="3222"/>
    </row>
    <row r="1253" spans="5:14">
      <c r="E1253" s="3222"/>
      <c r="N1253" s="3222"/>
    </row>
    <row r="1254" spans="5:14">
      <c r="E1254" s="3222"/>
      <c r="N1254" s="3222"/>
    </row>
    <row r="1255" spans="5:14">
      <c r="E1255" s="3222"/>
      <c r="N1255" s="3222"/>
    </row>
    <row r="1256" spans="5:14">
      <c r="E1256" s="3222"/>
      <c r="N1256" s="3222"/>
    </row>
    <row r="1257" spans="5:14">
      <c r="E1257" s="3222"/>
      <c r="N1257" s="3222"/>
    </row>
    <row r="1258" spans="5:14">
      <c r="E1258" s="3222"/>
      <c r="N1258" s="3222"/>
    </row>
    <row r="1259" spans="5:14">
      <c r="E1259" s="3222"/>
      <c r="N1259" s="3222"/>
    </row>
    <row r="1260" spans="5:14">
      <c r="E1260" s="3222"/>
      <c r="N1260" s="3222"/>
    </row>
    <row r="1261" spans="5:14">
      <c r="E1261" s="3222"/>
      <c r="N1261" s="3222"/>
    </row>
    <row r="1262" spans="5:14">
      <c r="E1262" s="3222"/>
      <c r="N1262" s="3222"/>
    </row>
    <row r="1263" spans="5:14">
      <c r="E1263" s="3222"/>
      <c r="N1263" s="3222"/>
    </row>
    <row r="1264" spans="5:14">
      <c r="E1264" s="3222"/>
      <c r="N1264" s="3222"/>
    </row>
    <row r="1265" spans="5:14">
      <c r="E1265" s="3222"/>
      <c r="N1265" s="3222"/>
    </row>
    <row r="1266" spans="5:14">
      <c r="E1266" s="3222"/>
      <c r="N1266" s="3222"/>
    </row>
    <row r="1267" spans="5:14">
      <c r="E1267" s="3222"/>
      <c r="N1267" s="3222"/>
    </row>
    <row r="1268" spans="5:14">
      <c r="E1268" s="3222"/>
      <c r="N1268" s="3222"/>
    </row>
    <row r="1269" spans="5:14">
      <c r="E1269" s="3222"/>
      <c r="N1269" s="3222"/>
    </row>
    <row r="1270" spans="5:14">
      <c r="E1270" s="3222"/>
      <c r="N1270" s="3222"/>
    </row>
    <row r="1271" spans="5:14">
      <c r="E1271" s="3222"/>
      <c r="N1271" s="3222"/>
    </row>
    <row r="1272" spans="5:14">
      <c r="E1272" s="3222"/>
      <c r="N1272" s="3222"/>
    </row>
    <row r="1273" spans="5:14">
      <c r="E1273" s="3222"/>
      <c r="N1273" s="3222"/>
    </row>
    <row r="1274" spans="5:14">
      <c r="E1274" s="3222"/>
      <c r="N1274" s="3222"/>
    </row>
    <row r="1275" spans="5:14">
      <c r="E1275" s="3222"/>
      <c r="N1275" s="3222"/>
    </row>
    <row r="1276" spans="5:14">
      <c r="E1276" s="3222"/>
      <c r="N1276" s="3222"/>
    </row>
    <row r="1277" spans="5:14">
      <c r="E1277" s="3222"/>
      <c r="N1277" s="3222"/>
    </row>
    <row r="1278" spans="5:14">
      <c r="E1278" s="3222"/>
      <c r="N1278" s="3222"/>
    </row>
    <row r="1279" spans="5:14">
      <c r="E1279" s="3222"/>
      <c r="N1279" s="3222"/>
    </row>
    <row r="1280" spans="5:14">
      <c r="E1280" s="3222"/>
      <c r="N1280" s="3222"/>
    </row>
    <row r="1281" spans="5:14">
      <c r="E1281" s="3222"/>
      <c r="N1281" s="3222"/>
    </row>
    <row r="1282" spans="5:14">
      <c r="E1282" s="3222"/>
      <c r="N1282" s="3222"/>
    </row>
    <row r="1283" spans="5:14">
      <c r="E1283" s="3222"/>
      <c r="N1283" s="3222"/>
    </row>
    <row r="1284" spans="5:14">
      <c r="E1284" s="3222"/>
      <c r="N1284" s="3222"/>
    </row>
    <row r="1285" spans="5:14">
      <c r="E1285" s="3222"/>
      <c r="N1285" s="3222"/>
    </row>
    <row r="1286" spans="5:14">
      <c r="E1286" s="3222"/>
      <c r="N1286" s="3222"/>
    </row>
    <row r="1287" spans="5:14">
      <c r="E1287" s="3222"/>
      <c r="N1287" s="3222"/>
    </row>
    <row r="1288" spans="5:14">
      <c r="E1288" s="3222"/>
      <c r="N1288" s="3222"/>
    </row>
    <row r="1289" spans="5:14">
      <c r="E1289" s="3222"/>
      <c r="N1289" s="3222"/>
    </row>
    <row r="1290" spans="5:14">
      <c r="E1290" s="3222"/>
      <c r="N1290" s="3222"/>
    </row>
    <row r="1291" spans="5:14">
      <c r="E1291" s="3222"/>
      <c r="N1291" s="3222"/>
    </row>
    <row r="1292" spans="5:14">
      <c r="E1292" s="3222"/>
      <c r="N1292" s="3222"/>
    </row>
    <row r="1293" spans="5:14">
      <c r="E1293" s="3222"/>
      <c r="N1293" s="3222"/>
    </row>
    <row r="1294" spans="5:14">
      <c r="E1294" s="3222"/>
      <c r="N1294" s="3222"/>
    </row>
    <row r="1295" spans="5:14">
      <c r="E1295" s="3222"/>
      <c r="N1295" s="3222"/>
    </row>
    <row r="1296" spans="5:14">
      <c r="E1296" s="3222"/>
      <c r="N1296" s="3222"/>
    </row>
    <row r="1297" spans="5:14">
      <c r="E1297" s="3222"/>
      <c r="N1297" s="3222"/>
    </row>
    <row r="1298" spans="5:14">
      <c r="E1298" s="3222"/>
      <c r="N1298" s="3222"/>
    </row>
    <row r="1299" spans="5:14">
      <c r="E1299" s="3222"/>
      <c r="N1299" s="3222"/>
    </row>
    <row r="1300" spans="5:14">
      <c r="E1300" s="3222"/>
      <c r="N1300" s="3222"/>
    </row>
    <row r="1301" spans="5:14">
      <c r="E1301" s="3222"/>
      <c r="N1301" s="3222"/>
    </row>
    <row r="1302" spans="5:14">
      <c r="E1302" s="3222"/>
      <c r="N1302" s="3222"/>
    </row>
    <row r="1303" spans="5:14">
      <c r="E1303" s="3222"/>
      <c r="N1303" s="3222"/>
    </row>
    <row r="1304" spans="5:14">
      <c r="E1304" s="3222"/>
      <c r="N1304" s="3222"/>
    </row>
    <row r="1305" spans="5:14">
      <c r="E1305" s="3222"/>
      <c r="N1305" s="3222"/>
    </row>
    <row r="1306" spans="5:14">
      <c r="E1306" s="3222"/>
      <c r="N1306" s="3222"/>
    </row>
    <row r="1307" spans="5:14">
      <c r="E1307" s="3222"/>
      <c r="N1307" s="3222"/>
    </row>
    <row r="1308" spans="5:14">
      <c r="E1308" s="3222"/>
      <c r="N1308" s="3222"/>
    </row>
    <row r="1309" spans="5:14">
      <c r="E1309" s="3222"/>
      <c r="N1309" s="3222"/>
    </row>
    <row r="1310" spans="5:14">
      <c r="E1310" s="3222"/>
      <c r="N1310" s="3222"/>
    </row>
    <row r="1311" spans="5:14">
      <c r="E1311" s="3222"/>
      <c r="N1311" s="3222"/>
    </row>
    <row r="1312" spans="5:14">
      <c r="E1312" s="3222"/>
      <c r="N1312" s="3222"/>
    </row>
    <row r="1313" spans="5:14">
      <c r="E1313" s="3222"/>
      <c r="N1313" s="3222"/>
    </row>
    <row r="1314" spans="5:14">
      <c r="E1314" s="3222"/>
      <c r="N1314" s="3222"/>
    </row>
    <row r="1315" spans="5:14">
      <c r="E1315" s="3222"/>
      <c r="N1315" s="3222"/>
    </row>
    <row r="1316" spans="5:14">
      <c r="E1316" s="3222"/>
      <c r="N1316" s="3222"/>
    </row>
    <row r="1317" spans="5:14">
      <c r="E1317" s="3222"/>
      <c r="N1317" s="3222"/>
    </row>
    <row r="1318" spans="5:14">
      <c r="E1318" s="3222"/>
      <c r="N1318" s="3222"/>
    </row>
    <row r="1319" spans="5:14">
      <c r="E1319" s="3222"/>
      <c r="N1319" s="3222"/>
    </row>
    <row r="1320" spans="5:14">
      <c r="E1320" s="3222"/>
      <c r="N1320" s="3222"/>
    </row>
    <row r="1321" spans="5:14">
      <c r="E1321" s="3222"/>
      <c r="N1321" s="3222"/>
    </row>
    <row r="1322" spans="5:14">
      <c r="E1322" s="3222"/>
      <c r="N1322" s="3222"/>
    </row>
    <row r="1323" spans="5:14">
      <c r="E1323" s="3222"/>
      <c r="N1323" s="3222"/>
    </row>
    <row r="1324" spans="5:14">
      <c r="E1324" s="3222"/>
      <c r="N1324" s="3222"/>
    </row>
    <row r="1325" spans="5:14">
      <c r="E1325" s="3222"/>
      <c r="N1325" s="3222"/>
    </row>
    <row r="1326" spans="5:14">
      <c r="E1326" s="3222"/>
      <c r="N1326" s="3222"/>
    </row>
    <row r="1327" spans="5:14">
      <c r="E1327" s="3222"/>
      <c r="N1327" s="3222"/>
    </row>
    <row r="1328" spans="5:14">
      <c r="E1328" s="3222"/>
      <c r="N1328" s="3222"/>
    </row>
    <row r="1329" spans="5:14">
      <c r="E1329" s="3222"/>
      <c r="N1329" s="3222"/>
    </row>
    <row r="1330" spans="5:14">
      <c r="E1330" s="3222"/>
      <c r="N1330" s="3222"/>
    </row>
    <row r="1331" spans="5:14">
      <c r="E1331" s="3222"/>
      <c r="N1331" s="3222"/>
    </row>
    <row r="1332" spans="5:14">
      <c r="E1332" s="3222"/>
      <c r="N1332" s="3222"/>
    </row>
    <row r="1333" spans="5:14">
      <c r="E1333" s="3222"/>
      <c r="N1333" s="3222"/>
    </row>
    <row r="1334" spans="5:14">
      <c r="E1334" s="3222"/>
      <c r="N1334" s="3222"/>
    </row>
    <row r="1335" spans="5:14">
      <c r="E1335" s="3222"/>
      <c r="N1335" s="3222"/>
    </row>
    <row r="1336" spans="5:14">
      <c r="E1336" s="3222"/>
      <c r="N1336" s="3222"/>
    </row>
    <row r="1337" spans="5:14">
      <c r="E1337" s="3222"/>
      <c r="N1337" s="3222"/>
    </row>
    <row r="1338" spans="5:14">
      <c r="E1338" s="3222"/>
      <c r="N1338" s="3222"/>
    </row>
    <row r="1339" spans="5:14">
      <c r="E1339" s="3222"/>
      <c r="N1339" s="3222"/>
    </row>
    <row r="1340" spans="5:14">
      <c r="E1340" s="3222"/>
      <c r="N1340" s="3222"/>
    </row>
    <row r="1341" spans="5:14">
      <c r="E1341" s="3222"/>
      <c r="N1341" s="3222"/>
    </row>
    <row r="1342" spans="5:14">
      <c r="E1342" s="3222"/>
      <c r="N1342" s="3222"/>
    </row>
    <row r="1343" spans="5:14">
      <c r="E1343" s="3222"/>
      <c r="N1343" s="3222"/>
    </row>
    <row r="1344" spans="5:14">
      <c r="E1344" s="3222"/>
      <c r="N1344" s="3222"/>
    </row>
    <row r="1345" spans="5:14">
      <c r="E1345" s="3222"/>
      <c r="N1345" s="3222"/>
    </row>
    <row r="1346" spans="5:14">
      <c r="E1346" s="3222"/>
      <c r="N1346" s="3222"/>
    </row>
    <row r="1347" spans="5:14">
      <c r="E1347" s="3222"/>
      <c r="N1347" s="3222"/>
    </row>
    <row r="1348" spans="5:14">
      <c r="E1348" s="3222"/>
      <c r="N1348" s="3222"/>
    </row>
    <row r="1349" spans="5:14">
      <c r="E1349" s="3222"/>
      <c r="N1349" s="3222"/>
    </row>
    <row r="1350" spans="5:14">
      <c r="E1350" s="3222"/>
      <c r="N1350" s="3222"/>
    </row>
    <row r="1351" spans="5:14">
      <c r="E1351" s="3222"/>
      <c r="N1351" s="3222"/>
    </row>
    <row r="1352" spans="5:14">
      <c r="E1352" s="3222"/>
      <c r="N1352" s="3222"/>
    </row>
    <row r="1353" spans="5:14">
      <c r="E1353" s="3222"/>
      <c r="N1353" s="3222"/>
    </row>
    <row r="1354" spans="5:14">
      <c r="E1354" s="3222"/>
      <c r="N1354" s="3222"/>
    </row>
    <row r="1355" spans="5:14">
      <c r="E1355" s="3222"/>
      <c r="N1355" s="3222"/>
    </row>
    <row r="1356" spans="5:14">
      <c r="E1356" s="3222"/>
      <c r="N1356" s="3222"/>
    </row>
    <row r="1357" spans="5:14">
      <c r="E1357" s="3222"/>
      <c r="N1357" s="3222"/>
    </row>
    <row r="1358" spans="5:14">
      <c r="E1358" s="3222"/>
      <c r="N1358" s="3222"/>
    </row>
    <row r="1359" spans="5:14">
      <c r="E1359" s="3222"/>
      <c r="N1359" s="3222"/>
    </row>
    <row r="1360" spans="5:14">
      <c r="E1360" s="3222"/>
      <c r="N1360" s="3222"/>
    </row>
    <row r="1361" spans="5:14">
      <c r="E1361" s="3222"/>
      <c r="N1361" s="3222"/>
    </row>
    <row r="1362" spans="5:14">
      <c r="E1362" s="3222"/>
      <c r="N1362" s="3222"/>
    </row>
    <row r="1363" spans="5:14">
      <c r="E1363" s="3222"/>
      <c r="N1363" s="3222"/>
    </row>
    <row r="1364" spans="5:14">
      <c r="E1364" s="3222"/>
      <c r="N1364" s="3222"/>
    </row>
    <row r="1365" spans="5:14">
      <c r="E1365" s="3222"/>
      <c r="N1365" s="3222"/>
    </row>
    <row r="1366" spans="5:14">
      <c r="E1366" s="3222"/>
      <c r="N1366" s="3222"/>
    </row>
    <row r="1367" spans="5:14">
      <c r="E1367" s="3222"/>
      <c r="N1367" s="3222"/>
    </row>
    <row r="1368" spans="5:14">
      <c r="E1368" s="3222"/>
      <c r="N1368" s="3222"/>
    </row>
    <row r="1369" spans="5:14">
      <c r="E1369" s="3222"/>
      <c r="N1369" s="3222"/>
    </row>
    <row r="1370" spans="5:14">
      <c r="E1370" s="3222"/>
      <c r="N1370" s="3222"/>
    </row>
    <row r="1371" spans="5:14">
      <c r="E1371" s="3222"/>
      <c r="N1371" s="3222"/>
    </row>
    <row r="1372" spans="5:14">
      <c r="E1372" s="3222"/>
      <c r="N1372" s="3222"/>
    </row>
    <row r="1373" spans="5:14">
      <c r="E1373" s="3222"/>
      <c r="N1373" s="3222"/>
    </row>
    <row r="1374" spans="5:14">
      <c r="E1374" s="3222"/>
      <c r="N1374" s="3222"/>
    </row>
    <row r="1375" spans="5:14">
      <c r="E1375" s="3222"/>
      <c r="N1375" s="3222"/>
    </row>
    <row r="1376" spans="5:14">
      <c r="E1376" s="3222"/>
      <c r="N1376" s="3222"/>
    </row>
    <row r="1377" spans="5:14">
      <c r="E1377" s="3222"/>
      <c r="N1377" s="3222"/>
    </row>
    <row r="1378" spans="5:14">
      <c r="E1378" s="3222"/>
      <c r="N1378" s="3222"/>
    </row>
    <row r="1379" spans="5:14">
      <c r="E1379" s="3222"/>
      <c r="N1379" s="3222"/>
    </row>
    <row r="1380" spans="5:14">
      <c r="E1380" s="3222"/>
      <c r="N1380" s="3222"/>
    </row>
    <row r="1381" spans="5:14">
      <c r="E1381" s="3222"/>
      <c r="N1381" s="3222"/>
    </row>
    <row r="1382" spans="5:14">
      <c r="E1382" s="3222"/>
      <c r="N1382" s="3222"/>
    </row>
    <row r="1383" spans="5:14">
      <c r="E1383" s="3222"/>
      <c r="N1383" s="3222"/>
    </row>
    <row r="1384" spans="5:14">
      <c r="E1384" s="3222"/>
      <c r="N1384" s="3222"/>
    </row>
    <row r="1385" spans="5:14">
      <c r="E1385" s="3222"/>
      <c r="N1385" s="3222"/>
    </row>
    <row r="1386" spans="5:14">
      <c r="E1386" s="3222"/>
      <c r="N1386" s="3222"/>
    </row>
    <row r="1387" spans="5:14">
      <c r="E1387" s="3222"/>
      <c r="N1387" s="3222"/>
    </row>
    <row r="1388" spans="5:14">
      <c r="E1388" s="3222"/>
      <c r="N1388" s="3222"/>
    </row>
    <row r="1389" spans="5:14">
      <c r="E1389" s="3222"/>
      <c r="N1389" s="3222"/>
    </row>
    <row r="1390" spans="5:14">
      <c r="E1390" s="3222"/>
      <c r="N1390" s="3222"/>
    </row>
    <row r="1391" spans="5:14">
      <c r="E1391" s="3222"/>
      <c r="N1391" s="3222"/>
    </row>
    <row r="1392" spans="5:14">
      <c r="E1392" s="3222"/>
      <c r="N1392" s="3222"/>
    </row>
    <row r="1393" spans="5:14">
      <c r="E1393" s="3222"/>
      <c r="N1393" s="3222"/>
    </row>
    <row r="1394" spans="5:14">
      <c r="E1394" s="3222"/>
      <c r="N1394" s="3222"/>
    </row>
    <row r="1395" spans="5:14">
      <c r="E1395" s="3222"/>
      <c r="N1395" s="3222"/>
    </row>
    <row r="1396" spans="5:14">
      <c r="E1396" s="3222"/>
      <c r="N1396" s="3222"/>
    </row>
    <row r="1397" spans="5:14">
      <c r="E1397" s="3222"/>
      <c r="N1397" s="3222"/>
    </row>
    <row r="1398" spans="5:14">
      <c r="E1398" s="3222"/>
      <c r="N1398" s="3222"/>
    </row>
    <row r="1399" spans="5:14">
      <c r="E1399" s="3222"/>
      <c r="N1399" s="3222"/>
    </row>
    <row r="1400" spans="5:14">
      <c r="E1400" s="3222"/>
      <c r="N1400" s="3222"/>
    </row>
    <row r="1401" spans="5:14">
      <c r="E1401" s="3222"/>
      <c r="N1401" s="3222"/>
    </row>
    <row r="1402" spans="5:14">
      <c r="E1402" s="3222"/>
      <c r="N1402" s="3222"/>
    </row>
    <row r="1403" spans="5:14">
      <c r="E1403" s="3222"/>
      <c r="N1403" s="3222"/>
    </row>
    <row r="1404" spans="5:14">
      <c r="E1404" s="3222"/>
      <c r="N1404" s="3222"/>
    </row>
    <row r="1405" spans="5:14">
      <c r="E1405" s="3222"/>
      <c r="N1405" s="3222"/>
    </row>
    <row r="1406" spans="5:14">
      <c r="E1406" s="3222"/>
      <c r="N1406" s="3222"/>
    </row>
    <row r="1407" spans="5:14">
      <c r="E1407" s="3222"/>
      <c r="N1407" s="3222"/>
    </row>
    <row r="1408" spans="5:14">
      <c r="E1408" s="3222"/>
      <c r="N1408" s="3222"/>
    </row>
    <row r="1409" spans="5:14">
      <c r="E1409" s="3222"/>
      <c r="N1409" s="3222"/>
    </row>
    <row r="1410" spans="5:14">
      <c r="E1410" s="3222"/>
      <c r="N1410" s="3222"/>
    </row>
    <row r="1411" spans="5:14">
      <c r="E1411" s="3222"/>
      <c r="N1411" s="3222"/>
    </row>
    <row r="1412" spans="5:14">
      <c r="E1412" s="3222"/>
      <c r="N1412" s="3222"/>
    </row>
    <row r="1413" spans="5:14">
      <c r="E1413" s="3222"/>
      <c r="N1413" s="3222"/>
    </row>
    <row r="1414" spans="5:14">
      <c r="E1414" s="3222"/>
      <c r="N1414" s="3222"/>
    </row>
    <row r="1415" spans="5:14">
      <c r="E1415" s="3222"/>
      <c r="N1415" s="3222"/>
    </row>
    <row r="1416" spans="5:14">
      <c r="E1416" s="3222"/>
      <c r="N1416" s="3222"/>
    </row>
    <row r="1417" spans="5:14">
      <c r="E1417" s="3222"/>
      <c r="N1417" s="3222"/>
    </row>
    <row r="1418" spans="5:14">
      <c r="E1418" s="3222"/>
      <c r="N1418" s="3222"/>
    </row>
    <row r="1419" spans="5:14">
      <c r="E1419" s="3222"/>
      <c r="N1419" s="3222"/>
    </row>
    <row r="1420" spans="5:14">
      <c r="E1420" s="3222"/>
      <c r="N1420" s="3222"/>
    </row>
    <row r="1421" spans="5:14">
      <c r="E1421" s="3222"/>
      <c r="N1421" s="3222"/>
    </row>
    <row r="1422" spans="5:14">
      <c r="E1422" s="3222"/>
      <c r="N1422" s="3222"/>
    </row>
    <row r="1423" spans="5:14">
      <c r="E1423" s="3222"/>
      <c r="N1423" s="3222"/>
    </row>
    <row r="1424" spans="5:14">
      <c r="E1424" s="3222"/>
      <c r="N1424" s="3222"/>
    </row>
    <row r="1425" spans="5:14">
      <c r="E1425" s="3222"/>
      <c r="N1425" s="3222"/>
    </row>
    <row r="1426" spans="5:14">
      <c r="E1426" s="3222"/>
      <c r="N1426" s="3222"/>
    </row>
    <row r="1427" spans="5:14">
      <c r="E1427" s="3222"/>
      <c r="N1427" s="3222"/>
    </row>
    <row r="1428" spans="5:14">
      <c r="E1428" s="3222"/>
      <c r="N1428" s="3222"/>
    </row>
    <row r="1429" spans="5:14">
      <c r="E1429" s="3222"/>
      <c r="N1429" s="3222"/>
    </row>
    <row r="1430" spans="5:14">
      <c r="E1430" s="3222"/>
      <c r="N1430" s="3222"/>
    </row>
    <row r="1431" spans="5:14">
      <c r="E1431" s="3222"/>
      <c r="N1431" s="3222"/>
    </row>
    <row r="1432" spans="5:14">
      <c r="E1432" s="3222"/>
      <c r="N1432" s="3222"/>
    </row>
    <row r="1433" spans="5:14">
      <c r="E1433" s="3222"/>
      <c r="N1433" s="3222"/>
    </row>
    <row r="1434" spans="5:14">
      <c r="E1434" s="3222"/>
      <c r="N1434" s="3222"/>
    </row>
    <row r="1435" spans="5:14">
      <c r="E1435" s="3222"/>
      <c r="N1435" s="3222"/>
    </row>
    <row r="1436" spans="5:14">
      <c r="E1436" s="3222"/>
      <c r="N1436" s="3222"/>
    </row>
    <row r="1437" spans="5:14">
      <c r="E1437" s="3222"/>
      <c r="N1437" s="3222"/>
    </row>
    <row r="1438" spans="5:14">
      <c r="E1438" s="3222"/>
      <c r="N1438" s="3222"/>
    </row>
    <row r="1439" spans="5:14">
      <c r="E1439" s="3222"/>
      <c r="N1439" s="3222"/>
    </row>
    <row r="1440" spans="5:14">
      <c r="E1440" s="3222"/>
      <c r="N1440" s="3222"/>
    </row>
    <row r="1441" spans="5:14">
      <c r="E1441" s="3222"/>
      <c r="N1441" s="3222"/>
    </row>
    <row r="1442" spans="5:14">
      <c r="E1442" s="3222"/>
      <c r="N1442" s="3222"/>
    </row>
    <row r="1443" spans="5:14">
      <c r="E1443" s="3222"/>
      <c r="N1443" s="3222"/>
    </row>
    <row r="1444" spans="5:14">
      <c r="E1444" s="3222"/>
      <c r="N1444" s="3222"/>
    </row>
    <row r="1445" spans="5:14">
      <c r="E1445" s="3222"/>
      <c r="N1445" s="3222"/>
    </row>
    <row r="1446" spans="5:14">
      <c r="E1446" s="3222"/>
      <c r="N1446" s="3222"/>
    </row>
    <row r="1447" spans="5:14">
      <c r="E1447" s="3222"/>
      <c r="N1447" s="3222"/>
    </row>
    <row r="1448" spans="5:14">
      <c r="E1448" s="3222"/>
      <c r="N1448" s="3222"/>
    </row>
    <row r="1449" spans="5:14">
      <c r="E1449" s="3222"/>
      <c r="N1449" s="3222"/>
    </row>
    <row r="1450" spans="5:14">
      <c r="E1450" s="3222"/>
      <c r="N1450" s="3222"/>
    </row>
    <row r="1451" spans="5:14">
      <c r="E1451" s="3222"/>
      <c r="N1451" s="3222"/>
    </row>
    <row r="1452" spans="5:14">
      <c r="E1452" s="3222"/>
      <c r="N1452" s="3222"/>
    </row>
    <row r="1453" spans="5:14">
      <c r="E1453" s="3222"/>
      <c r="N1453" s="3222"/>
    </row>
    <row r="1454" spans="5:14">
      <c r="E1454" s="3222"/>
      <c r="N1454" s="3222"/>
    </row>
    <row r="1455" spans="5:14">
      <c r="E1455" s="3222"/>
      <c r="N1455" s="3222"/>
    </row>
    <row r="1456" spans="5:14">
      <c r="E1456" s="3222"/>
      <c r="N1456" s="3222"/>
    </row>
    <row r="1457" spans="5:14">
      <c r="E1457" s="3222"/>
      <c r="N1457" s="3222"/>
    </row>
    <row r="1458" spans="5:14">
      <c r="E1458" s="3222"/>
      <c r="N1458" s="3222"/>
    </row>
    <row r="1459" spans="5:14">
      <c r="E1459" s="3222"/>
      <c r="N1459" s="3222"/>
    </row>
    <row r="1460" spans="5:14">
      <c r="E1460" s="3222"/>
      <c r="N1460" s="3222"/>
    </row>
    <row r="1461" spans="5:14">
      <c r="E1461" s="3222"/>
      <c r="N1461" s="3222"/>
    </row>
    <row r="1462" spans="5:14">
      <c r="E1462" s="3222"/>
      <c r="N1462" s="3222"/>
    </row>
    <row r="1463" spans="5:14">
      <c r="E1463" s="3222"/>
      <c r="N1463" s="3222"/>
    </row>
    <row r="1464" spans="5:14">
      <c r="E1464" s="3222"/>
      <c r="N1464" s="3222"/>
    </row>
    <row r="1465" spans="5:14">
      <c r="E1465" s="3222"/>
      <c r="N1465" s="3222"/>
    </row>
    <row r="1466" spans="5:14">
      <c r="E1466" s="3222"/>
      <c r="N1466" s="3222"/>
    </row>
    <row r="1467" spans="5:14">
      <c r="E1467" s="3222"/>
      <c r="N1467" s="3222"/>
    </row>
    <row r="1468" spans="5:14">
      <c r="E1468" s="3222"/>
      <c r="N1468" s="3222"/>
    </row>
    <row r="1469" spans="5:14">
      <c r="E1469" s="3222"/>
      <c r="N1469" s="3222"/>
    </row>
    <row r="1470" spans="5:14">
      <c r="E1470" s="3222"/>
      <c r="N1470" s="3222"/>
    </row>
    <row r="1471" spans="5:14">
      <c r="E1471" s="3222"/>
      <c r="N1471" s="3222"/>
    </row>
    <row r="1472" spans="5:14">
      <c r="E1472" s="3222"/>
      <c r="N1472" s="3222"/>
    </row>
    <row r="1473" spans="5:14">
      <c r="E1473" s="3222"/>
      <c r="N1473" s="3222"/>
    </row>
    <row r="1474" spans="5:14">
      <c r="E1474" s="3222"/>
      <c r="N1474" s="3222"/>
    </row>
    <row r="1475" spans="5:14">
      <c r="E1475" s="3222"/>
      <c r="N1475" s="3222"/>
    </row>
    <row r="1476" spans="5:14">
      <c r="E1476" s="3222"/>
      <c r="N1476" s="3222"/>
    </row>
    <row r="1477" spans="5:14">
      <c r="E1477" s="3222"/>
      <c r="N1477" s="3222"/>
    </row>
    <row r="1478" spans="5:14">
      <c r="E1478" s="3222"/>
      <c r="N1478" s="3222"/>
    </row>
    <row r="1479" spans="5:14">
      <c r="E1479" s="3222"/>
      <c r="N1479" s="3222"/>
    </row>
    <row r="1480" spans="5:14">
      <c r="E1480" s="3222"/>
      <c r="N1480" s="3222"/>
    </row>
    <row r="1481" spans="5:14">
      <c r="E1481" s="3222"/>
      <c r="N1481" s="3222"/>
    </row>
    <row r="1482" spans="5:14">
      <c r="E1482" s="3222"/>
      <c r="N1482" s="3222"/>
    </row>
    <row r="1483" spans="5:14">
      <c r="E1483" s="3222"/>
      <c r="N1483" s="3222"/>
    </row>
    <row r="1484" spans="5:14">
      <c r="E1484" s="3222"/>
      <c r="N1484" s="3222"/>
    </row>
    <row r="1485" spans="5:14">
      <c r="E1485" s="3222"/>
      <c r="N1485" s="3222"/>
    </row>
    <row r="1486" spans="5:14">
      <c r="E1486" s="3222"/>
      <c r="N1486" s="3222"/>
    </row>
    <row r="1487" spans="5:14">
      <c r="E1487" s="3222"/>
      <c r="N1487" s="3222"/>
    </row>
    <row r="1488" spans="5:14">
      <c r="E1488" s="3222"/>
      <c r="N1488" s="3222"/>
    </row>
    <row r="1489" spans="5:14">
      <c r="E1489" s="3222"/>
      <c r="N1489" s="3222"/>
    </row>
    <row r="1490" spans="5:14">
      <c r="E1490" s="3222"/>
      <c r="N1490" s="3222"/>
    </row>
    <row r="1491" spans="5:14">
      <c r="E1491" s="3222"/>
      <c r="N1491" s="3222"/>
    </row>
    <row r="1492" spans="5:14">
      <c r="E1492" s="3222"/>
      <c r="N1492" s="3222"/>
    </row>
    <row r="1493" spans="5:14">
      <c r="E1493" s="3222"/>
      <c r="N1493" s="3222"/>
    </row>
    <row r="1494" spans="5:14">
      <c r="E1494" s="3222"/>
      <c r="N1494" s="3222"/>
    </row>
    <row r="1495" spans="5:14">
      <c r="E1495" s="3222"/>
      <c r="N1495" s="3222"/>
    </row>
    <row r="1496" spans="5:14">
      <c r="E1496" s="3222"/>
      <c r="N1496" s="3222"/>
    </row>
    <row r="1497" spans="5:14">
      <c r="E1497" s="3222"/>
      <c r="N1497" s="3222"/>
    </row>
    <row r="1498" spans="5:14">
      <c r="E1498" s="3222"/>
      <c r="N1498" s="3222"/>
    </row>
    <row r="1499" spans="5:14">
      <c r="E1499" s="3222"/>
      <c r="N1499" s="3222"/>
    </row>
    <row r="1500" spans="5:14">
      <c r="E1500" s="3222"/>
      <c r="N1500" s="3222"/>
    </row>
    <row r="1501" spans="5:14">
      <c r="E1501" s="3222"/>
      <c r="N1501" s="3222"/>
    </row>
    <row r="1502" spans="5:14">
      <c r="E1502" s="3222"/>
      <c r="N1502" s="3222"/>
    </row>
    <row r="1503" spans="5:14">
      <c r="E1503" s="3222"/>
      <c r="N1503" s="3222"/>
    </row>
    <row r="1504" spans="5:14">
      <c r="E1504" s="3222"/>
      <c r="N1504" s="3222"/>
    </row>
    <row r="1505" spans="5:14">
      <c r="E1505" s="3222"/>
      <c r="N1505" s="3222"/>
    </row>
    <row r="1506" spans="5:14">
      <c r="E1506" s="3222"/>
      <c r="N1506" s="3222"/>
    </row>
    <row r="1507" spans="5:14">
      <c r="E1507" s="3222"/>
      <c r="N1507" s="3222"/>
    </row>
    <row r="1508" spans="5:14">
      <c r="E1508" s="3222"/>
      <c r="N1508" s="3222"/>
    </row>
    <row r="1509" spans="5:14">
      <c r="E1509" s="3222"/>
      <c r="N1509" s="3222"/>
    </row>
    <row r="1510" spans="5:14">
      <c r="E1510" s="3222"/>
      <c r="N1510" s="3222"/>
    </row>
    <row r="1511" spans="5:14">
      <c r="E1511" s="3222"/>
      <c r="N1511" s="3222"/>
    </row>
    <row r="1512" spans="5:14">
      <c r="E1512" s="3222"/>
      <c r="N1512" s="3222"/>
    </row>
    <row r="1513" spans="5:14">
      <c r="E1513" s="3222"/>
      <c r="N1513" s="3222"/>
    </row>
    <row r="1514" spans="5:14">
      <c r="E1514" s="3222"/>
      <c r="N1514" s="3222"/>
    </row>
    <row r="1515" spans="5:14">
      <c r="E1515" s="3222"/>
      <c r="N1515" s="3222"/>
    </row>
    <row r="1516" spans="5:14">
      <c r="E1516" s="3222"/>
      <c r="N1516" s="3222"/>
    </row>
    <row r="1517" spans="5:14">
      <c r="E1517" s="3222"/>
      <c r="N1517" s="3222"/>
    </row>
    <row r="1518" spans="5:14">
      <c r="E1518" s="3222"/>
      <c r="N1518" s="3222"/>
    </row>
    <row r="1519" spans="5:14">
      <c r="E1519" s="3222"/>
      <c r="N1519" s="3222"/>
    </row>
    <row r="1520" spans="5:14">
      <c r="E1520" s="3222"/>
      <c r="N1520" s="3222"/>
    </row>
    <row r="1521" spans="5:14">
      <c r="E1521" s="3222"/>
      <c r="N1521" s="3222"/>
    </row>
    <row r="1522" spans="5:14">
      <c r="E1522" s="3222"/>
      <c r="N1522" s="3222"/>
    </row>
    <row r="1523" spans="5:14">
      <c r="E1523" s="3222"/>
      <c r="N1523" s="3222"/>
    </row>
    <row r="1524" spans="5:14">
      <c r="E1524" s="3222"/>
      <c r="N1524" s="3222"/>
    </row>
    <row r="1525" spans="5:14">
      <c r="E1525" s="3222"/>
      <c r="N1525" s="3222"/>
    </row>
    <row r="1526" spans="5:14">
      <c r="E1526" s="3222"/>
      <c r="N1526" s="3222"/>
    </row>
    <row r="1527" spans="5:14">
      <c r="E1527" s="3222"/>
      <c r="N1527" s="3222"/>
    </row>
    <row r="1528" spans="5:14">
      <c r="E1528" s="3222"/>
      <c r="N1528" s="3222"/>
    </row>
    <row r="1529" spans="5:14">
      <c r="E1529" s="3222"/>
      <c r="N1529" s="3222"/>
    </row>
    <row r="1530" spans="5:14">
      <c r="E1530" s="3222"/>
      <c r="N1530" s="3222"/>
    </row>
    <row r="1531" spans="5:14">
      <c r="E1531" s="3222"/>
      <c r="N1531" s="3222"/>
    </row>
    <row r="1532" spans="5:14">
      <c r="E1532" s="3222"/>
      <c r="N1532" s="3222"/>
    </row>
    <row r="1533" spans="5:14">
      <c r="E1533" s="3222"/>
      <c r="N1533" s="3222"/>
    </row>
    <row r="1534" spans="5:14">
      <c r="E1534" s="3222"/>
      <c r="N1534" s="3222"/>
    </row>
    <row r="1535" spans="5:14">
      <c r="E1535" s="3222"/>
      <c r="N1535" s="3222"/>
    </row>
    <row r="1536" spans="5:14">
      <c r="E1536" s="3222"/>
      <c r="N1536" s="3222"/>
    </row>
    <row r="1537" spans="5:14">
      <c r="E1537" s="3222"/>
      <c r="N1537" s="3222"/>
    </row>
    <row r="1538" spans="5:14">
      <c r="E1538" s="3222"/>
      <c r="N1538" s="3222"/>
    </row>
    <row r="1539" spans="5:14">
      <c r="E1539" s="3222"/>
      <c r="N1539" s="3222"/>
    </row>
    <row r="1540" spans="5:14">
      <c r="E1540" s="3222"/>
      <c r="N1540" s="3222"/>
    </row>
    <row r="1541" spans="5:14">
      <c r="E1541" s="3222"/>
      <c r="N1541" s="3222"/>
    </row>
    <row r="1542" spans="5:14">
      <c r="E1542" s="3222"/>
      <c r="N1542" s="3222"/>
    </row>
    <row r="1543" spans="5:14">
      <c r="E1543" s="3222"/>
      <c r="N1543" s="3222"/>
    </row>
    <row r="1544" spans="5:14">
      <c r="E1544" s="3222"/>
      <c r="N1544" s="3222"/>
    </row>
    <row r="1545" spans="5:14">
      <c r="E1545" s="3222"/>
      <c r="N1545" s="3222"/>
    </row>
    <row r="1546" spans="5:14">
      <c r="E1546" s="3222"/>
      <c r="N1546" s="3222"/>
    </row>
    <row r="1547" spans="5:14">
      <c r="E1547" s="3222"/>
      <c r="N1547" s="3222"/>
    </row>
    <row r="1548" spans="5:14">
      <c r="E1548" s="3222"/>
      <c r="N1548" s="3222"/>
    </row>
    <row r="1549" spans="5:14">
      <c r="E1549" s="3222"/>
      <c r="N1549" s="3222"/>
    </row>
    <row r="1550" spans="5:14">
      <c r="E1550" s="3222"/>
      <c r="N1550" s="3222"/>
    </row>
    <row r="1551" spans="5:14">
      <c r="E1551" s="3222"/>
      <c r="N1551" s="3222"/>
    </row>
    <row r="1552" spans="5:14">
      <c r="E1552" s="3222"/>
      <c r="N1552" s="3222"/>
    </row>
    <row r="1553" spans="5:14">
      <c r="E1553" s="3222"/>
      <c r="N1553" s="3222"/>
    </row>
    <row r="1554" spans="5:14">
      <c r="E1554" s="3222"/>
      <c r="N1554" s="3222"/>
    </row>
    <row r="1555" spans="5:14">
      <c r="E1555" s="3222"/>
      <c r="N1555" s="3222"/>
    </row>
    <row r="1556" spans="5:14">
      <c r="E1556" s="3222"/>
      <c r="N1556" s="3222"/>
    </row>
    <row r="1557" spans="5:14">
      <c r="E1557" s="3222"/>
      <c r="N1557" s="3222"/>
    </row>
    <row r="1558" spans="5:14">
      <c r="E1558" s="3222"/>
      <c r="N1558" s="3222"/>
    </row>
    <row r="1559" spans="5:14">
      <c r="E1559" s="3222"/>
      <c r="N1559" s="3222"/>
    </row>
    <row r="1560" spans="5:14">
      <c r="E1560" s="3222"/>
      <c r="N1560" s="3222"/>
    </row>
    <row r="1561" spans="5:14">
      <c r="E1561" s="3222"/>
      <c r="N1561" s="3222"/>
    </row>
    <row r="1562" spans="5:14">
      <c r="E1562" s="3222"/>
      <c r="N1562" s="3222"/>
    </row>
    <row r="1563" spans="5:14">
      <c r="E1563" s="3222"/>
      <c r="N1563" s="3222"/>
    </row>
    <row r="1564" spans="5:14">
      <c r="E1564" s="3222"/>
      <c r="N1564" s="3222"/>
    </row>
    <row r="1565" spans="5:14">
      <c r="E1565" s="3222"/>
      <c r="N1565" s="3222"/>
    </row>
    <row r="1566" spans="5:14">
      <c r="E1566" s="3222"/>
      <c r="N1566" s="3222"/>
    </row>
    <row r="1567" spans="5:14">
      <c r="E1567" s="3222"/>
      <c r="N1567" s="3222"/>
    </row>
    <row r="1568" spans="5:14">
      <c r="E1568" s="3222"/>
      <c r="N1568" s="3222"/>
    </row>
    <row r="1569" spans="5:14">
      <c r="E1569" s="3222"/>
      <c r="N1569" s="3222"/>
    </row>
    <row r="1570" spans="5:14">
      <c r="E1570" s="3222"/>
      <c r="N1570" s="3222"/>
    </row>
    <row r="1571" spans="5:14">
      <c r="E1571" s="3222"/>
      <c r="N1571" s="3222"/>
    </row>
    <row r="1572" spans="5:14">
      <c r="E1572" s="3222"/>
      <c r="N1572" s="3222"/>
    </row>
    <row r="1573" spans="5:14">
      <c r="E1573" s="3222"/>
      <c r="N1573" s="3222"/>
    </row>
    <row r="1574" spans="5:14">
      <c r="E1574" s="3222"/>
      <c r="N1574" s="3222"/>
    </row>
    <row r="1575" spans="5:14">
      <c r="E1575" s="3222"/>
      <c r="N1575" s="3222"/>
    </row>
    <row r="1576" spans="5:14">
      <c r="E1576" s="3222"/>
      <c r="N1576" s="3222"/>
    </row>
    <row r="1577" spans="5:14">
      <c r="E1577" s="3222"/>
      <c r="N1577" s="3222"/>
    </row>
    <row r="1578" spans="5:14">
      <c r="E1578" s="3222"/>
      <c r="N1578" s="3222"/>
    </row>
    <row r="1579" spans="5:14">
      <c r="E1579" s="3222"/>
      <c r="N1579" s="3222"/>
    </row>
    <row r="1580" spans="5:14">
      <c r="E1580" s="3222"/>
      <c r="N1580" s="3222"/>
    </row>
    <row r="1581" spans="5:14">
      <c r="E1581" s="3222"/>
      <c r="N1581" s="3222"/>
    </row>
    <row r="1582" spans="5:14">
      <c r="E1582" s="3222"/>
      <c r="N1582" s="3222"/>
    </row>
    <row r="1583" spans="5:14">
      <c r="E1583" s="3222"/>
      <c r="N1583" s="3222"/>
    </row>
    <row r="1584" spans="5:14">
      <c r="E1584" s="3222"/>
      <c r="N1584" s="3222"/>
    </row>
    <row r="1585" spans="5:14">
      <c r="E1585" s="3222"/>
      <c r="N1585" s="3222"/>
    </row>
    <row r="1586" spans="5:14">
      <c r="E1586" s="3222"/>
      <c r="N1586" s="3222"/>
    </row>
    <row r="1587" spans="5:14">
      <c r="E1587" s="3222"/>
      <c r="N1587" s="3222"/>
    </row>
    <row r="1588" spans="5:14">
      <c r="E1588" s="3222"/>
      <c r="N1588" s="3222"/>
    </row>
    <row r="1589" spans="5:14">
      <c r="E1589" s="3222"/>
      <c r="N1589" s="3222"/>
    </row>
    <row r="1590" spans="5:14">
      <c r="E1590" s="3222"/>
      <c r="N1590" s="3222"/>
    </row>
    <row r="1591" spans="5:14">
      <c r="E1591" s="3222"/>
      <c r="N1591" s="3222"/>
    </row>
    <row r="1592" spans="5:14">
      <c r="E1592" s="3222"/>
      <c r="N1592" s="3222"/>
    </row>
    <row r="1593" spans="5:14">
      <c r="E1593" s="3222"/>
      <c r="N1593" s="3222"/>
    </row>
    <row r="1594" spans="5:14">
      <c r="E1594" s="3222"/>
      <c r="N1594" s="3222"/>
    </row>
    <row r="1595" spans="5:14">
      <c r="E1595" s="3222"/>
      <c r="N1595" s="3222"/>
    </row>
    <row r="1596" spans="5:14">
      <c r="E1596" s="3222"/>
      <c r="N1596" s="3222"/>
    </row>
    <row r="1597" spans="5:14">
      <c r="E1597" s="3222"/>
      <c r="N1597" s="3222"/>
    </row>
    <row r="1598" spans="5:14">
      <c r="E1598" s="3222"/>
      <c r="N1598" s="3222"/>
    </row>
    <row r="1599" spans="5:14">
      <c r="E1599" s="3222"/>
      <c r="N1599" s="3222"/>
    </row>
    <row r="1600" spans="5:14">
      <c r="E1600" s="3222"/>
      <c r="N1600" s="3222"/>
    </row>
    <row r="1601" spans="5:14">
      <c r="E1601" s="3222"/>
      <c r="N1601" s="3222"/>
    </row>
    <row r="1602" spans="5:14">
      <c r="E1602" s="3222"/>
      <c r="N1602" s="3222"/>
    </row>
    <row r="1603" spans="5:14">
      <c r="E1603" s="3222"/>
      <c r="N1603" s="3222"/>
    </row>
    <row r="1604" spans="5:14">
      <c r="E1604" s="3222"/>
      <c r="N1604" s="3222"/>
    </row>
    <row r="1605" spans="5:14">
      <c r="E1605" s="3222"/>
      <c r="N1605" s="3222"/>
    </row>
    <row r="1606" spans="5:14">
      <c r="E1606" s="3222"/>
      <c r="N1606" s="3222"/>
    </row>
    <row r="1607" spans="5:14">
      <c r="E1607" s="3222"/>
      <c r="N1607" s="3222"/>
    </row>
    <row r="1608" spans="5:14">
      <c r="E1608" s="3222"/>
      <c r="N1608" s="3222"/>
    </row>
    <row r="1609" spans="5:14">
      <c r="E1609" s="3222"/>
      <c r="N1609" s="3222"/>
    </row>
    <row r="1610" spans="5:14">
      <c r="E1610" s="3222"/>
      <c r="N1610" s="3222"/>
    </row>
    <row r="1611" spans="5:14">
      <c r="E1611" s="3222"/>
      <c r="N1611" s="3222"/>
    </row>
    <row r="1612" spans="5:14">
      <c r="E1612" s="3222"/>
      <c r="N1612" s="3222"/>
    </row>
    <row r="1613" spans="5:14">
      <c r="E1613" s="3222"/>
      <c r="N1613" s="3222"/>
    </row>
    <row r="1614" spans="5:14">
      <c r="E1614" s="3222"/>
      <c r="N1614" s="3222"/>
    </row>
    <row r="1615" spans="5:14">
      <c r="E1615" s="3222"/>
      <c r="N1615" s="3222"/>
    </row>
    <row r="1616" spans="5:14">
      <c r="E1616" s="3222"/>
      <c r="N1616" s="3222"/>
    </row>
    <row r="1617" spans="5:14">
      <c r="E1617" s="3222"/>
      <c r="N1617" s="3222"/>
    </row>
    <row r="1618" spans="5:14">
      <c r="E1618" s="3222"/>
      <c r="N1618" s="3222"/>
    </row>
    <row r="1619" spans="5:14">
      <c r="E1619" s="3222"/>
      <c r="N1619" s="3222"/>
    </row>
    <row r="1620" spans="5:14">
      <c r="E1620" s="3222"/>
      <c r="N1620" s="3222"/>
    </row>
    <row r="1621" spans="5:14">
      <c r="E1621" s="3222"/>
      <c r="N1621" s="3222"/>
    </row>
    <row r="1622" spans="5:14">
      <c r="E1622" s="3222"/>
      <c r="N1622" s="3222"/>
    </row>
    <row r="1623" spans="5:14">
      <c r="E1623" s="3222"/>
      <c r="N1623" s="3222"/>
    </row>
    <row r="1624" spans="5:14">
      <c r="E1624" s="3222"/>
      <c r="N1624" s="3222"/>
    </row>
    <row r="1625" spans="5:14">
      <c r="E1625" s="3222"/>
      <c r="N1625" s="3222"/>
    </row>
    <row r="1626" spans="5:14">
      <c r="E1626" s="3222"/>
      <c r="N1626" s="3222"/>
    </row>
    <row r="1627" spans="5:14">
      <c r="E1627" s="3222"/>
      <c r="N1627" s="3222"/>
    </row>
    <row r="1628" spans="5:14">
      <c r="E1628" s="3222"/>
      <c r="N1628" s="3222"/>
    </row>
    <row r="1629" spans="5:14">
      <c r="E1629" s="3222"/>
      <c r="N1629" s="3222"/>
    </row>
    <row r="1630" spans="5:14">
      <c r="E1630" s="3222"/>
      <c r="N1630" s="3222"/>
    </row>
    <row r="1631" spans="5:14">
      <c r="E1631" s="3222"/>
      <c r="N1631" s="3222"/>
    </row>
    <row r="1632" spans="5:14">
      <c r="E1632" s="3222"/>
      <c r="N1632" s="3222"/>
    </row>
    <row r="1633" spans="5:14">
      <c r="E1633" s="3222"/>
      <c r="N1633" s="3222"/>
    </row>
    <row r="1634" spans="5:14">
      <c r="E1634" s="3222"/>
      <c r="N1634" s="3222"/>
    </row>
    <row r="1635" spans="5:14">
      <c r="E1635" s="3222"/>
      <c r="N1635" s="3222"/>
    </row>
    <row r="1636" spans="5:14">
      <c r="E1636" s="3222"/>
      <c r="N1636" s="3222"/>
    </row>
    <row r="1637" spans="5:14">
      <c r="E1637" s="3222"/>
      <c r="N1637" s="3222"/>
    </row>
    <row r="1638" spans="5:14">
      <c r="E1638" s="3222"/>
      <c r="N1638" s="3222"/>
    </row>
    <row r="1639" spans="5:14">
      <c r="E1639" s="3222"/>
      <c r="N1639" s="3222"/>
    </row>
    <row r="1640" spans="5:14">
      <c r="E1640" s="3222"/>
      <c r="N1640" s="3222"/>
    </row>
    <row r="1641" spans="5:14">
      <c r="E1641" s="3222"/>
      <c r="N1641" s="3222"/>
    </row>
    <row r="1642" spans="5:14">
      <c r="E1642" s="3222"/>
      <c r="N1642" s="3222"/>
    </row>
    <row r="1643" spans="5:14">
      <c r="E1643" s="3222"/>
      <c r="N1643" s="3222"/>
    </row>
    <row r="1644" spans="5:14">
      <c r="E1644" s="3222"/>
      <c r="N1644" s="3222"/>
    </row>
    <row r="1645" spans="5:14">
      <c r="E1645" s="3222"/>
      <c r="N1645" s="3222"/>
    </row>
    <row r="1646" spans="5:14">
      <c r="E1646" s="3222"/>
      <c r="N1646" s="3222"/>
    </row>
    <row r="1647" spans="5:14">
      <c r="E1647" s="3222"/>
      <c r="N1647" s="3222"/>
    </row>
    <row r="1648" spans="5:14">
      <c r="E1648" s="3222"/>
      <c r="N1648" s="3222"/>
    </row>
    <row r="1649" spans="5:14">
      <c r="E1649" s="3222"/>
      <c r="N1649" s="3222"/>
    </row>
    <row r="1650" spans="5:14">
      <c r="E1650" s="3222"/>
      <c r="N1650" s="3222"/>
    </row>
    <row r="1651" spans="5:14">
      <c r="E1651" s="3222"/>
      <c r="N1651" s="3222"/>
    </row>
    <row r="1652" spans="5:14">
      <c r="E1652" s="3222"/>
      <c r="N1652" s="3222"/>
    </row>
    <row r="1653" spans="5:14">
      <c r="E1653" s="3222"/>
      <c r="N1653" s="3222"/>
    </row>
    <row r="1654" spans="5:14">
      <c r="E1654" s="3222"/>
      <c r="N1654" s="3222"/>
    </row>
    <row r="1655" spans="5:14">
      <c r="E1655" s="3222"/>
      <c r="N1655" s="3222"/>
    </row>
    <row r="1656" spans="5:14">
      <c r="E1656" s="3222"/>
      <c r="N1656" s="3222"/>
    </row>
    <row r="1657" spans="5:14">
      <c r="E1657" s="3222"/>
      <c r="N1657" s="3222"/>
    </row>
    <row r="1658" spans="5:14">
      <c r="E1658" s="3222"/>
      <c r="N1658" s="3222"/>
    </row>
    <row r="1659" spans="5:14">
      <c r="E1659" s="3222"/>
      <c r="N1659" s="3222"/>
    </row>
    <row r="1660" spans="5:14">
      <c r="E1660" s="3222"/>
      <c r="N1660" s="3222"/>
    </row>
    <row r="1661" spans="5:14">
      <c r="E1661" s="3222"/>
      <c r="N1661" s="3222"/>
    </row>
    <row r="1662" spans="5:14">
      <c r="E1662" s="3222"/>
      <c r="N1662" s="3222"/>
    </row>
    <row r="1663" spans="5:14">
      <c r="E1663" s="3222"/>
      <c r="N1663" s="3222"/>
    </row>
    <row r="1664" spans="5:14">
      <c r="E1664" s="3222"/>
      <c r="N1664" s="3222"/>
    </row>
    <row r="1665" spans="5:14">
      <c r="E1665" s="3222"/>
      <c r="N1665" s="3222"/>
    </row>
    <row r="1666" spans="5:14">
      <c r="E1666" s="3222"/>
      <c r="N1666" s="3222"/>
    </row>
    <row r="1667" spans="5:14">
      <c r="E1667" s="3222"/>
      <c r="N1667" s="3222"/>
    </row>
    <row r="1668" spans="5:14">
      <c r="E1668" s="3222"/>
      <c r="N1668" s="3222"/>
    </row>
    <row r="1669" spans="5:14">
      <c r="E1669" s="3222"/>
      <c r="N1669" s="3222"/>
    </row>
    <row r="1670" spans="5:14">
      <c r="E1670" s="3222"/>
      <c r="N1670" s="3222"/>
    </row>
    <row r="1671" spans="5:14">
      <c r="E1671" s="3222"/>
      <c r="N1671" s="3222"/>
    </row>
    <row r="1672" spans="5:14">
      <c r="E1672" s="3222"/>
      <c r="N1672" s="3222"/>
    </row>
    <row r="1673" spans="5:14">
      <c r="E1673" s="3222"/>
      <c r="N1673" s="3222"/>
    </row>
    <row r="1674" spans="5:14">
      <c r="E1674" s="3222"/>
      <c r="N1674" s="3222"/>
    </row>
    <row r="1675" spans="5:14">
      <c r="E1675" s="3222"/>
      <c r="N1675" s="3222"/>
    </row>
    <row r="1676" spans="5:14">
      <c r="E1676" s="3222"/>
      <c r="N1676" s="3222"/>
    </row>
    <row r="1677" spans="5:14">
      <c r="E1677" s="3222"/>
      <c r="N1677" s="3222"/>
    </row>
    <row r="1678" spans="5:14">
      <c r="E1678" s="3222"/>
      <c r="N1678" s="3222"/>
    </row>
    <row r="1679" spans="5:14">
      <c r="E1679" s="3222"/>
      <c r="N1679" s="3222"/>
    </row>
    <row r="1680" spans="5:14">
      <c r="E1680" s="3222"/>
      <c r="N1680" s="3222"/>
    </row>
    <row r="1681" spans="5:14">
      <c r="E1681" s="3222"/>
      <c r="N1681" s="3222"/>
    </row>
    <row r="1682" spans="5:14">
      <c r="E1682" s="3222"/>
      <c r="N1682" s="3222"/>
    </row>
    <row r="1683" spans="5:14">
      <c r="E1683" s="3222"/>
      <c r="N1683" s="3222"/>
    </row>
    <row r="1684" spans="5:14">
      <c r="E1684" s="3222"/>
      <c r="N1684" s="3222"/>
    </row>
    <row r="1685" spans="5:14">
      <c r="E1685" s="3222"/>
      <c r="N1685" s="3222"/>
    </row>
    <row r="1686" spans="5:14">
      <c r="E1686" s="3222"/>
      <c r="N1686" s="3222"/>
    </row>
    <row r="1687" spans="5:14">
      <c r="E1687" s="3222"/>
      <c r="N1687" s="3222"/>
    </row>
    <row r="1688" spans="5:14">
      <c r="E1688" s="3222"/>
      <c r="N1688" s="3222"/>
    </row>
    <row r="1689" spans="5:14">
      <c r="E1689" s="3222"/>
      <c r="N1689" s="3222"/>
    </row>
    <row r="1690" spans="5:14">
      <c r="E1690" s="3222"/>
      <c r="N1690" s="3222"/>
    </row>
    <row r="1691" spans="5:14">
      <c r="E1691" s="3222"/>
      <c r="N1691" s="3222"/>
    </row>
    <row r="1692" spans="5:14">
      <c r="E1692" s="3222"/>
      <c r="N1692" s="3222"/>
    </row>
    <row r="1693" spans="5:14">
      <c r="E1693" s="3222"/>
      <c r="N1693" s="3222"/>
    </row>
    <row r="1694" spans="5:14">
      <c r="E1694" s="3222"/>
      <c r="N1694" s="3222"/>
    </row>
    <row r="1695" spans="5:14">
      <c r="E1695" s="3222"/>
      <c r="N1695" s="3222"/>
    </row>
    <row r="1696" spans="5:14">
      <c r="E1696" s="3222"/>
      <c r="N1696" s="3222"/>
    </row>
    <row r="1697" spans="5:14">
      <c r="E1697" s="3222"/>
      <c r="N1697" s="3222"/>
    </row>
    <row r="1698" spans="5:14">
      <c r="E1698" s="3222"/>
      <c r="N1698" s="3222"/>
    </row>
    <row r="1699" spans="5:14">
      <c r="E1699" s="3222"/>
      <c r="N1699" s="3222"/>
    </row>
    <row r="1700" spans="5:14">
      <c r="E1700" s="3222"/>
      <c r="N1700" s="3222"/>
    </row>
    <row r="1701" spans="5:14">
      <c r="E1701" s="3222"/>
      <c r="N1701" s="3222"/>
    </row>
    <row r="1702" spans="5:14">
      <c r="E1702" s="3222"/>
      <c r="N1702" s="3222"/>
    </row>
    <row r="1703" spans="5:14">
      <c r="E1703" s="3222"/>
      <c r="N1703" s="3222"/>
    </row>
    <row r="1704" spans="5:14">
      <c r="E1704" s="3222"/>
      <c r="N1704" s="3222"/>
    </row>
    <row r="1705" spans="5:14">
      <c r="E1705" s="3222"/>
      <c r="N1705" s="3222"/>
    </row>
    <row r="1706" spans="5:14">
      <c r="E1706" s="3222"/>
      <c r="N1706" s="3222"/>
    </row>
    <row r="1707" spans="5:14">
      <c r="E1707" s="3222"/>
      <c r="N1707" s="3222"/>
    </row>
    <row r="1708" spans="5:14">
      <c r="E1708" s="3222"/>
      <c r="N1708" s="3222"/>
    </row>
    <row r="1709" spans="5:14">
      <c r="E1709" s="3222"/>
      <c r="N1709" s="3222"/>
    </row>
    <row r="1710" spans="5:14">
      <c r="E1710" s="3222"/>
      <c r="N1710" s="3222"/>
    </row>
    <row r="1711" spans="5:14">
      <c r="E1711" s="3222"/>
      <c r="N1711" s="3222"/>
    </row>
    <row r="1712" spans="5:14">
      <c r="E1712" s="3222"/>
      <c r="N1712" s="3222"/>
    </row>
    <row r="1713" spans="5:14">
      <c r="E1713" s="3222"/>
      <c r="N1713" s="3222"/>
    </row>
    <row r="1714" spans="5:14">
      <c r="E1714" s="3222"/>
      <c r="N1714" s="3222"/>
    </row>
    <row r="1715" spans="5:14">
      <c r="E1715" s="3222"/>
      <c r="N1715" s="3222"/>
    </row>
    <row r="1716" spans="5:14">
      <c r="E1716" s="3222"/>
      <c r="N1716" s="3222"/>
    </row>
    <row r="1717" spans="5:14">
      <c r="E1717" s="3222"/>
      <c r="N1717" s="3222"/>
    </row>
    <row r="1718" spans="5:14">
      <c r="E1718" s="3222"/>
      <c r="N1718" s="3222"/>
    </row>
    <row r="1719" spans="5:14">
      <c r="E1719" s="3222"/>
      <c r="N1719" s="3222"/>
    </row>
    <row r="1720" spans="5:14">
      <c r="E1720" s="3222"/>
      <c r="N1720" s="3222"/>
    </row>
    <row r="1721" spans="5:14">
      <c r="E1721" s="3222"/>
      <c r="N1721" s="3222"/>
    </row>
    <row r="1722" spans="5:14">
      <c r="E1722" s="3222"/>
      <c r="N1722" s="3222"/>
    </row>
    <row r="1723" spans="5:14">
      <c r="E1723" s="3222"/>
      <c r="N1723" s="3222"/>
    </row>
    <row r="1724" spans="5:14">
      <c r="E1724" s="3222"/>
      <c r="N1724" s="3222"/>
    </row>
    <row r="1725" spans="5:14">
      <c r="E1725" s="3222"/>
      <c r="N1725" s="3222"/>
    </row>
    <row r="1726" spans="5:14">
      <c r="E1726" s="3222"/>
      <c r="N1726" s="3222"/>
    </row>
    <row r="1727" spans="5:14">
      <c r="E1727" s="3222"/>
      <c r="N1727" s="3222"/>
    </row>
    <row r="1728" spans="5:14">
      <c r="E1728" s="3222"/>
      <c r="N1728" s="3222"/>
    </row>
    <row r="1729" spans="5:14">
      <c r="E1729" s="3222"/>
      <c r="N1729" s="3222"/>
    </row>
    <row r="1730" spans="5:14">
      <c r="E1730" s="3222"/>
      <c r="N1730" s="3222"/>
    </row>
    <row r="1731" spans="5:14">
      <c r="E1731" s="3222"/>
      <c r="N1731" s="3222"/>
    </row>
    <row r="1732" spans="5:14">
      <c r="E1732" s="3222"/>
      <c r="N1732" s="3222"/>
    </row>
    <row r="1733" spans="5:14">
      <c r="E1733" s="3222"/>
      <c r="N1733" s="3222"/>
    </row>
    <row r="1734" spans="5:14">
      <c r="E1734" s="3222"/>
      <c r="N1734" s="3222"/>
    </row>
    <row r="1735" spans="5:14">
      <c r="E1735" s="3222"/>
      <c r="N1735" s="3222"/>
    </row>
    <row r="1736" spans="5:14">
      <c r="E1736" s="3222"/>
      <c r="N1736" s="3222"/>
    </row>
    <row r="1737" spans="5:14">
      <c r="E1737" s="3222"/>
      <c r="N1737" s="3222"/>
    </row>
    <row r="1738" spans="5:14">
      <c r="E1738" s="3222"/>
      <c r="N1738" s="3222"/>
    </row>
    <row r="1739" spans="5:14">
      <c r="E1739" s="3222"/>
      <c r="N1739" s="3222"/>
    </row>
    <row r="1740" spans="5:14">
      <c r="E1740" s="3222"/>
      <c r="N1740" s="3222"/>
    </row>
    <row r="1741" spans="5:14">
      <c r="E1741" s="3222"/>
      <c r="N1741" s="3222"/>
    </row>
    <row r="1742" spans="5:14">
      <c r="E1742" s="3222"/>
      <c r="N1742" s="3222"/>
    </row>
    <row r="1743" spans="5:14">
      <c r="E1743" s="3222"/>
      <c r="N1743" s="3222"/>
    </row>
    <row r="1744" spans="5:14">
      <c r="E1744" s="3222"/>
      <c r="N1744" s="3222"/>
    </row>
    <row r="1745" spans="5:14">
      <c r="E1745" s="3222"/>
      <c r="N1745" s="3222"/>
    </row>
    <row r="1746" spans="5:14">
      <c r="E1746" s="3222"/>
      <c r="N1746" s="3222"/>
    </row>
    <row r="1747" spans="5:14">
      <c r="E1747" s="3222"/>
      <c r="N1747" s="3222"/>
    </row>
    <row r="1748" spans="5:14">
      <c r="E1748" s="3222"/>
      <c r="N1748" s="3222"/>
    </row>
    <row r="1749" spans="5:14">
      <c r="E1749" s="3222"/>
      <c r="N1749" s="3222"/>
    </row>
    <row r="1750" spans="5:14">
      <c r="E1750" s="3222"/>
      <c r="N1750" s="3222"/>
    </row>
    <row r="1751" spans="5:14">
      <c r="E1751" s="3222"/>
      <c r="N1751" s="3222"/>
    </row>
    <row r="1752" spans="5:14">
      <c r="E1752" s="3222"/>
      <c r="N1752" s="3222"/>
    </row>
    <row r="1753" spans="5:14">
      <c r="E1753" s="3222"/>
      <c r="N1753" s="3222"/>
    </row>
    <row r="1754" spans="5:14">
      <c r="E1754" s="3222"/>
      <c r="N1754" s="3222"/>
    </row>
    <row r="1755" spans="5:14">
      <c r="E1755" s="3222"/>
      <c r="N1755" s="3222"/>
    </row>
    <row r="1756" spans="5:14">
      <c r="E1756" s="3222"/>
      <c r="N1756" s="3222"/>
    </row>
    <row r="1757" spans="5:14">
      <c r="E1757" s="3222"/>
      <c r="N1757" s="3222"/>
    </row>
    <row r="1758" spans="5:14">
      <c r="E1758" s="3222"/>
      <c r="N1758" s="3222"/>
    </row>
    <row r="1759" spans="5:14">
      <c r="E1759" s="3222"/>
      <c r="N1759" s="3222"/>
    </row>
    <row r="1760" spans="5:14">
      <c r="E1760" s="3222"/>
      <c r="N1760" s="3222"/>
    </row>
    <row r="1761" spans="5:14">
      <c r="E1761" s="3222"/>
      <c r="N1761" s="3222"/>
    </row>
    <row r="1762" spans="5:14">
      <c r="E1762" s="3222"/>
      <c r="N1762" s="3222"/>
    </row>
    <row r="1763" spans="5:14">
      <c r="E1763" s="3222"/>
      <c r="N1763" s="3222"/>
    </row>
    <row r="1764" spans="5:14">
      <c r="E1764" s="3222"/>
      <c r="N1764" s="3222"/>
    </row>
    <row r="1765" spans="5:14">
      <c r="E1765" s="3222"/>
      <c r="N1765" s="3222"/>
    </row>
    <row r="1766" spans="5:14">
      <c r="E1766" s="3222"/>
      <c r="N1766" s="3222"/>
    </row>
    <row r="1767" spans="5:14">
      <c r="E1767" s="3222"/>
      <c r="N1767" s="3222"/>
    </row>
    <row r="1768" spans="5:14">
      <c r="E1768" s="3222"/>
      <c r="N1768" s="3222"/>
    </row>
    <row r="1769" spans="5:14">
      <c r="E1769" s="3222"/>
      <c r="N1769" s="3222"/>
    </row>
    <row r="1770" spans="5:14">
      <c r="E1770" s="3222"/>
      <c r="N1770" s="3222"/>
    </row>
    <row r="1771" spans="5:14">
      <c r="E1771" s="3222"/>
      <c r="N1771" s="3222"/>
    </row>
    <row r="1772" spans="5:14">
      <c r="E1772" s="3222"/>
      <c r="N1772" s="3222"/>
    </row>
    <row r="1773" spans="5:14">
      <c r="E1773" s="3222"/>
      <c r="N1773" s="3222"/>
    </row>
    <row r="1774" spans="5:14">
      <c r="E1774" s="3222"/>
      <c r="N1774" s="3222"/>
    </row>
    <row r="1775" spans="5:14">
      <c r="E1775" s="3222"/>
      <c r="N1775" s="3222"/>
    </row>
    <row r="1776" spans="5:14">
      <c r="E1776" s="3222"/>
      <c r="N1776" s="3222"/>
    </row>
    <row r="1777" spans="5:14">
      <c r="E1777" s="3222"/>
      <c r="N1777" s="3222"/>
    </row>
    <row r="1778" spans="5:14">
      <c r="E1778" s="3222"/>
      <c r="N1778" s="3222"/>
    </row>
    <row r="1779" spans="5:14">
      <c r="E1779" s="3222"/>
      <c r="N1779" s="3222"/>
    </row>
    <row r="1780" spans="5:14">
      <c r="E1780" s="3222"/>
      <c r="N1780" s="3222"/>
    </row>
    <row r="1781" spans="5:14">
      <c r="E1781" s="3222"/>
      <c r="N1781" s="3222"/>
    </row>
    <row r="1782" spans="5:14">
      <c r="E1782" s="3222"/>
      <c r="N1782" s="3222"/>
    </row>
    <row r="1783" spans="5:14">
      <c r="E1783" s="3222"/>
      <c r="N1783" s="3222"/>
    </row>
    <row r="1784" spans="5:14">
      <c r="E1784" s="3222"/>
      <c r="N1784" s="3222"/>
    </row>
    <row r="1785" spans="5:14">
      <c r="E1785" s="3222"/>
      <c r="N1785" s="3222"/>
    </row>
    <row r="1786" spans="5:14">
      <c r="E1786" s="3222"/>
      <c r="N1786" s="3222"/>
    </row>
    <row r="1787" spans="5:14">
      <c r="E1787" s="3222"/>
      <c r="N1787" s="3222"/>
    </row>
    <row r="1788" spans="5:14">
      <c r="E1788" s="3222"/>
      <c r="N1788" s="3222"/>
    </row>
    <row r="1789" spans="5:14">
      <c r="E1789" s="3222"/>
      <c r="N1789" s="3222"/>
    </row>
    <row r="1790" spans="5:14">
      <c r="E1790" s="3222"/>
      <c r="N1790" s="3222"/>
    </row>
    <row r="1791" spans="5:14">
      <c r="E1791" s="3222"/>
      <c r="N1791" s="3222"/>
    </row>
    <row r="1792" spans="5:14">
      <c r="E1792" s="3222"/>
      <c r="N1792" s="3222"/>
    </row>
    <row r="1793" spans="5:14">
      <c r="E1793" s="3222"/>
      <c r="N1793" s="3222"/>
    </row>
    <row r="1794" spans="5:14">
      <c r="E1794" s="3222"/>
      <c r="N1794" s="3222"/>
    </row>
    <row r="1795" spans="5:14">
      <c r="E1795" s="3222"/>
      <c r="N1795" s="3222"/>
    </row>
    <row r="1796" spans="5:14">
      <c r="E1796" s="3222"/>
      <c r="N1796" s="3222"/>
    </row>
    <row r="1797" spans="5:14">
      <c r="E1797" s="3222"/>
      <c r="N1797" s="3222"/>
    </row>
    <row r="1798" spans="5:14">
      <c r="E1798" s="3222"/>
      <c r="N1798" s="3222"/>
    </row>
    <row r="1799" spans="5:14">
      <c r="E1799" s="3222"/>
      <c r="N1799" s="3222"/>
    </row>
    <row r="1800" spans="5:14">
      <c r="E1800" s="3222"/>
      <c r="N1800" s="3222"/>
    </row>
    <row r="1801" spans="5:14">
      <c r="E1801" s="3222"/>
      <c r="N1801" s="3222"/>
    </row>
    <row r="1802" spans="5:14">
      <c r="E1802" s="3222"/>
      <c r="N1802" s="3222"/>
    </row>
    <row r="1803" spans="5:14">
      <c r="E1803" s="3222"/>
      <c r="N1803" s="3222"/>
    </row>
    <row r="1804" spans="5:14">
      <c r="E1804" s="3222"/>
      <c r="N1804" s="3222"/>
    </row>
    <row r="1805" spans="5:14">
      <c r="E1805" s="3222"/>
      <c r="N1805" s="3222"/>
    </row>
    <row r="1806" spans="5:14">
      <c r="E1806" s="3222"/>
      <c r="N1806" s="3222"/>
    </row>
    <row r="1807" spans="5:14">
      <c r="E1807" s="3222"/>
      <c r="N1807" s="3222"/>
    </row>
    <row r="1808" spans="5:14">
      <c r="E1808" s="3222"/>
      <c r="N1808" s="3222"/>
    </row>
    <row r="1809" spans="5:14">
      <c r="E1809" s="3222"/>
      <c r="N1809" s="3222"/>
    </row>
    <row r="1810" spans="5:14">
      <c r="E1810" s="3222"/>
      <c r="N1810" s="3222"/>
    </row>
    <row r="1811" spans="5:14">
      <c r="E1811" s="3222"/>
      <c r="N1811" s="3222"/>
    </row>
    <row r="1812" spans="5:14">
      <c r="E1812" s="3222"/>
      <c r="N1812" s="3222"/>
    </row>
    <row r="1813" spans="5:14">
      <c r="E1813" s="3222"/>
      <c r="N1813" s="3222"/>
    </row>
    <row r="1814" spans="5:14">
      <c r="E1814" s="3222"/>
      <c r="N1814" s="3222"/>
    </row>
    <row r="1815" spans="5:14">
      <c r="E1815" s="3222"/>
      <c r="N1815" s="3222"/>
    </row>
    <row r="1816" spans="5:14">
      <c r="E1816" s="3222"/>
      <c r="N1816" s="3222"/>
    </row>
    <row r="1817" spans="5:14">
      <c r="E1817" s="3222"/>
      <c r="N1817" s="3222"/>
    </row>
    <row r="1818" spans="5:14">
      <c r="E1818" s="3222"/>
      <c r="N1818" s="3222"/>
    </row>
    <row r="1819" spans="5:14">
      <c r="E1819" s="3222"/>
      <c r="N1819" s="3222"/>
    </row>
    <row r="1820" spans="5:14">
      <c r="E1820" s="3222"/>
      <c r="N1820" s="3222"/>
    </row>
    <row r="1821" spans="5:14">
      <c r="E1821" s="3222"/>
      <c r="N1821" s="3222"/>
    </row>
    <row r="1822" spans="5:14">
      <c r="E1822" s="3222"/>
      <c r="N1822" s="3222"/>
    </row>
    <row r="1823" spans="5:14">
      <c r="E1823" s="3222"/>
      <c r="N1823" s="3222"/>
    </row>
    <row r="1824" spans="5:14">
      <c r="E1824" s="3222"/>
      <c r="N1824" s="3222"/>
    </row>
    <row r="1825" spans="5:14">
      <c r="E1825" s="3222"/>
      <c r="N1825" s="3222"/>
    </row>
    <row r="1826" spans="5:14">
      <c r="E1826" s="3222"/>
      <c r="N1826" s="3222"/>
    </row>
    <row r="1827" spans="5:14">
      <c r="E1827" s="3222"/>
      <c r="N1827" s="3222"/>
    </row>
    <row r="1828" spans="5:14">
      <c r="E1828" s="3222"/>
      <c r="N1828" s="3222"/>
    </row>
    <row r="1829" spans="5:14">
      <c r="E1829" s="3222"/>
      <c r="N1829" s="3222"/>
    </row>
    <row r="1830" spans="5:14">
      <c r="E1830" s="3222"/>
      <c r="N1830" s="3222"/>
    </row>
    <row r="1831" spans="5:14">
      <c r="E1831" s="3222"/>
      <c r="N1831" s="3222"/>
    </row>
    <row r="1832" spans="5:14">
      <c r="E1832" s="3222"/>
      <c r="N1832" s="3222"/>
    </row>
    <row r="1833" spans="5:14">
      <c r="E1833" s="3222"/>
      <c r="N1833" s="3222"/>
    </row>
    <row r="1834" spans="5:14">
      <c r="E1834" s="3222"/>
      <c r="N1834" s="3222"/>
    </row>
    <row r="1835" spans="5:14">
      <c r="E1835" s="3222"/>
      <c r="N1835" s="3222"/>
    </row>
    <row r="1836" spans="5:14">
      <c r="E1836" s="3222"/>
      <c r="N1836" s="3222"/>
    </row>
    <row r="1837" spans="5:14">
      <c r="E1837" s="3222"/>
      <c r="N1837" s="3222"/>
    </row>
    <row r="1838" spans="5:14">
      <c r="E1838" s="3222"/>
      <c r="N1838" s="3222"/>
    </row>
    <row r="1839" spans="5:14">
      <c r="E1839" s="3222"/>
      <c r="N1839" s="3222"/>
    </row>
    <row r="1840" spans="5:14">
      <c r="E1840" s="3222"/>
      <c r="N1840" s="3222"/>
    </row>
    <row r="1841" spans="5:14">
      <c r="E1841" s="3222"/>
      <c r="N1841" s="3222"/>
    </row>
    <row r="1842" spans="5:14">
      <c r="E1842" s="3222"/>
      <c r="N1842" s="3222"/>
    </row>
    <row r="1843" spans="5:14">
      <c r="E1843" s="3222"/>
      <c r="N1843" s="3222"/>
    </row>
    <row r="1844" spans="5:14">
      <c r="E1844" s="3222"/>
      <c r="N1844" s="3222"/>
    </row>
    <row r="1845" spans="5:14">
      <c r="E1845" s="3222"/>
      <c r="N1845" s="3222"/>
    </row>
    <row r="1846" spans="5:14">
      <c r="E1846" s="3222"/>
      <c r="N1846" s="3222"/>
    </row>
    <row r="1847" spans="5:14">
      <c r="E1847" s="3222"/>
      <c r="N1847" s="3222"/>
    </row>
    <row r="1848" spans="5:14">
      <c r="E1848" s="3222"/>
      <c r="N1848" s="3222"/>
    </row>
    <row r="1849" spans="5:14">
      <c r="E1849" s="3222"/>
      <c r="N1849" s="3222"/>
    </row>
    <row r="1850" spans="5:14">
      <c r="E1850" s="3222"/>
      <c r="N1850" s="3222"/>
    </row>
    <row r="1851" spans="5:14">
      <c r="E1851" s="3222"/>
      <c r="N1851" s="3222"/>
    </row>
    <row r="1852" spans="5:14">
      <c r="E1852" s="3222"/>
      <c r="N1852" s="3222"/>
    </row>
    <row r="1853" spans="5:14">
      <c r="E1853" s="3222"/>
      <c r="N1853" s="3222"/>
    </row>
    <row r="1854" spans="5:14">
      <c r="E1854" s="3222"/>
      <c r="N1854" s="3222"/>
    </row>
    <row r="1855" spans="5:14">
      <c r="E1855" s="3222"/>
      <c r="N1855" s="3222"/>
    </row>
    <row r="1856" spans="5:14">
      <c r="E1856" s="3222"/>
      <c r="N1856" s="3222"/>
    </row>
    <row r="1857" spans="5:14">
      <c r="E1857" s="3222"/>
      <c r="N1857" s="3222"/>
    </row>
    <row r="1858" spans="5:14">
      <c r="E1858" s="3222"/>
      <c r="N1858" s="3222"/>
    </row>
    <row r="1859" spans="5:14">
      <c r="E1859" s="3222"/>
      <c r="N1859" s="3222"/>
    </row>
    <row r="1860" spans="5:14">
      <c r="E1860" s="3222"/>
      <c r="N1860" s="3222"/>
    </row>
    <row r="1861" spans="5:14">
      <c r="E1861" s="3222"/>
      <c r="N1861" s="3222"/>
    </row>
    <row r="1862" spans="5:14">
      <c r="E1862" s="3222"/>
      <c r="N1862" s="3222"/>
    </row>
    <row r="1863" spans="5:14">
      <c r="E1863" s="3222"/>
      <c r="N1863" s="3222"/>
    </row>
    <row r="1864" spans="5:14">
      <c r="E1864" s="3222"/>
      <c r="N1864" s="3222"/>
    </row>
    <row r="1865" spans="5:14">
      <c r="E1865" s="3222"/>
      <c r="N1865" s="3222"/>
    </row>
  </sheetData>
  <mergeCells count="75">
    <mergeCell ref="A132:W132"/>
    <mergeCell ref="G38:G39"/>
    <mergeCell ref="A38:A51"/>
    <mergeCell ref="B38:B39"/>
    <mergeCell ref="E38:E39"/>
    <mergeCell ref="F38:F39"/>
    <mergeCell ref="C127:C129"/>
    <mergeCell ref="A125:A129"/>
    <mergeCell ref="A5:N5"/>
    <mergeCell ref="C6:C8"/>
    <mergeCell ref="D6:D8"/>
    <mergeCell ref="E6:L7"/>
    <mergeCell ref="A28:A37"/>
    <mergeCell ref="C30:C34"/>
    <mergeCell ref="M6:M7"/>
    <mergeCell ref="Y38:Y51"/>
    <mergeCell ref="C41:C46"/>
    <mergeCell ref="C48:C49"/>
    <mergeCell ref="Y6:Y8"/>
    <mergeCell ref="Y28:Y37"/>
    <mergeCell ref="X6:X8"/>
    <mergeCell ref="X22:X27"/>
    <mergeCell ref="H38:H39"/>
    <mergeCell ref="I38:I39"/>
    <mergeCell ref="J38:J39"/>
    <mergeCell ref="K38:K39"/>
    <mergeCell ref="N38:N39"/>
    <mergeCell ref="C38:C39"/>
    <mergeCell ref="O6:O7"/>
    <mergeCell ref="P6:W7"/>
    <mergeCell ref="Y77:Y81"/>
    <mergeCell ref="AA52:AC62"/>
    <mergeCell ref="C54:C59"/>
    <mergeCell ref="C62:C64"/>
    <mergeCell ref="A65:A74"/>
    <mergeCell ref="Y65:Y76"/>
    <mergeCell ref="AA65:AC73"/>
    <mergeCell ref="C67:C69"/>
    <mergeCell ref="C70:C71"/>
    <mergeCell ref="C73:C74"/>
    <mergeCell ref="X72:X76"/>
    <mergeCell ref="X61:X64"/>
    <mergeCell ref="C79:C81"/>
    <mergeCell ref="A77:A81"/>
    <mergeCell ref="A52:A64"/>
    <mergeCell ref="Y52:Y64"/>
    <mergeCell ref="Y82:Y86"/>
    <mergeCell ref="C122:C124"/>
    <mergeCell ref="A115:A118"/>
    <mergeCell ref="A120:A124"/>
    <mergeCell ref="Y115:Y119"/>
    <mergeCell ref="Y120:Y124"/>
    <mergeCell ref="C111:C112"/>
    <mergeCell ref="C84:C86"/>
    <mergeCell ref="A87:A91"/>
    <mergeCell ref="Y87:Y91"/>
    <mergeCell ref="C89:C91"/>
    <mergeCell ref="X110:X114"/>
    <mergeCell ref="A82:A86"/>
    <mergeCell ref="Z102:AB102"/>
    <mergeCell ref="A131:Y131"/>
    <mergeCell ref="A92:A101"/>
    <mergeCell ref="Y92:Y101"/>
    <mergeCell ref="C94:C96"/>
    <mergeCell ref="C97:C98"/>
    <mergeCell ref="X99:X101"/>
    <mergeCell ref="C100:C101"/>
    <mergeCell ref="A102:A114"/>
    <mergeCell ref="Y102:Y114"/>
    <mergeCell ref="C104:C106"/>
    <mergeCell ref="C108:C109"/>
    <mergeCell ref="C113:C114"/>
    <mergeCell ref="C117:C119"/>
    <mergeCell ref="A130:W130"/>
    <mergeCell ref="Y125:Y129"/>
  </mergeCells>
  <printOptions horizontalCentered="1"/>
  <pageMargins left="7.874015748031496E-2" right="0.15748031496062992" top="0.51181102362204722" bottom="0.31496062992125984" header="0.15748031496062992" footer="0.15748031496062992"/>
  <pageSetup paperSize="9" scale="70" firstPageNumber="33" orientation="landscape" useFirstPageNumber="1" r:id="rId1"/>
  <headerFooter alignWithMargins="0">
    <oddHeader>&amp;C&amp;"Arial,Kursywa"Wieloletnia prognoza finansowa Województwa Zachodniopomorskiego na lata 2015 - 2038
&amp;"Arial,Normalny"_________________________________________________________________________________________________________________________________</oddHeader>
    <oddFooter>&amp;C&amp;8&amp;P</oddFooter>
  </headerFooter>
  <rowBreaks count="2" manualBreakCount="2">
    <brk id="51" max="24" man="1"/>
    <brk id="91" max="2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O528"/>
  <sheetViews>
    <sheetView showGridLines="0" tabSelected="1" view="pageBreakPreview" topLeftCell="O1" zoomScale="115" zoomScaleNormal="100" zoomScaleSheetLayoutView="115" workbookViewId="0">
      <pane ySplit="8" topLeftCell="A66" activePane="bottomLeft" state="frozen"/>
      <selection pane="bottomLeft" sqref="A1:Y106"/>
    </sheetView>
  </sheetViews>
  <sheetFormatPr defaultColWidth="9.140625" defaultRowHeight="11.25"/>
  <cols>
    <col min="1" max="1" width="2.85546875" style="730" customWidth="1"/>
    <col min="2" max="2" width="56.28515625" style="731" customWidth="1"/>
    <col min="3" max="3" width="10" style="731" customWidth="1"/>
    <col min="4" max="4" width="14.140625" style="731" customWidth="1"/>
    <col min="5" max="6" width="10.42578125" style="731" hidden="1" customWidth="1"/>
    <col min="7" max="8" width="10.7109375" style="731" hidden="1" customWidth="1"/>
    <col min="9" max="9" width="10.28515625" style="731" hidden="1" customWidth="1"/>
    <col min="10" max="10" width="9.5703125" style="731" hidden="1" customWidth="1"/>
    <col min="11" max="11" width="9.85546875" style="731" hidden="1" customWidth="1"/>
    <col min="12" max="12" width="10.140625" style="731" hidden="1" customWidth="1"/>
    <col min="13" max="13" width="12" style="731" customWidth="1"/>
    <col min="14" max="14" width="12.28515625" style="731" hidden="1" customWidth="1"/>
    <col min="15" max="15" width="10.85546875" style="731" customWidth="1"/>
    <col min="16" max="16" width="9.28515625" style="850" customWidth="1"/>
    <col min="17" max="17" width="9" style="848" customWidth="1"/>
    <col min="18" max="18" width="10.140625" style="848" customWidth="1"/>
    <col min="19" max="19" width="9.28515625" style="848" customWidth="1"/>
    <col min="20" max="23" width="9.5703125" style="848" customWidth="1"/>
    <col min="24" max="24" width="10.5703125" style="848" customWidth="1"/>
    <col min="25" max="25" width="15.7109375" style="847" customWidth="1"/>
    <col min="26" max="16384" width="9.140625" style="731"/>
  </cols>
  <sheetData>
    <row r="1" spans="1:25" ht="18" customHeight="1">
      <c r="O1" s="721"/>
      <c r="P1" s="848"/>
      <c r="R1" s="731"/>
      <c r="S1" s="329" t="s">
        <v>192</v>
      </c>
      <c r="T1" s="329"/>
      <c r="U1" s="329"/>
      <c r="V1" s="329"/>
      <c r="W1" s="329"/>
      <c r="X1" s="331"/>
      <c r="Y1" s="332"/>
    </row>
    <row r="2" spans="1:25" ht="7.5" customHeight="1">
      <c r="N2" s="333"/>
      <c r="O2" s="732"/>
      <c r="P2" s="731"/>
      <c r="Q2" s="731"/>
      <c r="R2" s="731"/>
      <c r="S2" s="731"/>
      <c r="T2" s="331"/>
      <c r="U2" s="331"/>
      <c r="V2" s="331"/>
      <c r="W2" s="331"/>
      <c r="X2" s="331"/>
      <c r="Y2" s="332"/>
    </row>
    <row r="3" spans="1:25" ht="14.25" hidden="1" customHeight="1">
      <c r="N3" s="333"/>
      <c r="O3" s="333"/>
      <c r="P3" s="333"/>
      <c r="Q3" s="333"/>
      <c r="R3" s="333"/>
      <c r="S3" s="333"/>
      <c r="T3" s="331"/>
      <c r="U3" s="331"/>
      <c r="V3" s="331"/>
      <c r="W3" s="331"/>
      <c r="X3" s="331"/>
      <c r="Y3" s="332"/>
    </row>
    <row r="4" spans="1:25" ht="9" customHeight="1">
      <c r="N4" s="333"/>
      <c r="O4" s="333"/>
      <c r="P4" s="333"/>
      <c r="Q4" s="333"/>
      <c r="R4" s="333"/>
      <c r="S4" s="333"/>
      <c r="T4" s="331"/>
      <c r="U4" s="331"/>
      <c r="V4" s="331"/>
      <c r="W4" s="331"/>
      <c r="X4" s="331"/>
      <c r="Y4" s="332"/>
    </row>
    <row r="5" spans="1:25" ht="38.25" customHeight="1" thickBot="1">
      <c r="A5" s="4377" t="s">
        <v>193</v>
      </c>
      <c r="B5" s="4377"/>
      <c r="C5" s="4377"/>
      <c r="D5" s="4377"/>
      <c r="E5" s="4377"/>
      <c r="F5" s="4377"/>
      <c r="G5" s="4377"/>
      <c r="H5" s="4377"/>
      <c r="I5" s="4377"/>
      <c r="J5" s="4377"/>
      <c r="K5" s="4377"/>
      <c r="L5" s="4377"/>
      <c r="M5" s="4377"/>
      <c r="N5" s="4377"/>
      <c r="O5" s="4377"/>
      <c r="P5" s="4377"/>
      <c r="Q5" s="4377"/>
      <c r="R5" s="4377"/>
      <c r="S5" s="4377"/>
      <c r="T5" s="4377"/>
      <c r="U5" s="4377"/>
      <c r="V5" s="4377"/>
      <c r="W5" s="4377"/>
      <c r="X5" s="4377"/>
      <c r="Y5" s="4377"/>
    </row>
    <row r="6" spans="1:25" s="1769" customFormat="1" ht="33.75" customHeight="1">
      <c r="A6" s="733"/>
      <c r="B6" s="4393" t="s">
        <v>91</v>
      </c>
      <c r="C6" s="4182" t="s">
        <v>87</v>
      </c>
      <c r="D6" s="3928" t="s">
        <v>194</v>
      </c>
      <c r="E6" s="4400"/>
      <c r="F6" s="4401"/>
      <c r="G6" s="4401"/>
      <c r="H6" s="4401"/>
      <c r="I6" s="4401"/>
      <c r="J6" s="4401"/>
      <c r="K6" s="4401"/>
      <c r="L6" s="4402"/>
      <c r="M6" s="4195" t="s">
        <v>523</v>
      </c>
      <c r="N6" s="1691"/>
      <c r="O6" s="4197" t="s">
        <v>539</v>
      </c>
      <c r="P6" s="4199" t="s">
        <v>540</v>
      </c>
      <c r="Q6" s="4200"/>
      <c r="R6" s="4200"/>
      <c r="S6" s="4200"/>
      <c r="T6" s="4200"/>
      <c r="U6" s="4200"/>
      <c r="V6" s="4200"/>
      <c r="W6" s="4201"/>
      <c r="X6" s="4189" t="s">
        <v>494</v>
      </c>
      <c r="Y6" s="4406" t="s">
        <v>89</v>
      </c>
    </row>
    <row r="7" spans="1:25" s="1769" customFormat="1" ht="25.5" customHeight="1">
      <c r="A7" s="734" t="s">
        <v>90</v>
      </c>
      <c r="B7" s="4394"/>
      <c r="C7" s="4396"/>
      <c r="D7" s="4398"/>
      <c r="E7" s="4403"/>
      <c r="F7" s="4404"/>
      <c r="G7" s="4404"/>
      <c r="H7" s="4404"/>
      <c r="I7" s="4404"/>
      <c r="J7" s="4404"/>
      <c r="K7" s="4404"/>
      <c r="L7" s="4405"/>
      <c r="M7" s="4196"/>
      <c r="N7" s="1178"/>
      <c r="O7" s="4198"/>
      <c r="P7" s="4202"/>
      <c r="Q7" s="4203"/>
      <c r="R7" s="4203"/>
      <c r="S7" s="4203"/>
      <c r="T7" s="4203"/>
      <c r="U7" s="4203"/>
      <c r="V7" s="4203"/>
      <c r="W7" s="4204"/>
      <c r="X7" s="4190"/>
      <c r="Y7" s="4407"/>
    </row>
    <row r="8" spans="1:25" s="1769" customFormat="1" ht="20.25" customHeight="1" thickBot="1">
      <c r="A8" s="734"/>
      <c r="B8" s="4395"/>
      <c r="C8" s="4397"/>
      <c r="D8" s="4399"/>
      <c r="E8" s="1767" t="s">
        <v>6</v>
      </c>
      <c r="F8" s="339" t="s">
        <v>7</v>
      </c>
      <c r="G8" s="339" t="s">
        <v>8</v>
      </c>
      <c r="H8" s="339" t="s">
        <v>9</v>
      </c>
      <c r="I8" s="1751" t="s">
        <v>10</v>
      </c>
      <c r="J8" s="1751" t="s">
        <v>11</v>
      </c>
      <c r="K8" s="1751" t="s">
        <v>12</v>
      </c>
      <c r="L8" s="1751" t="s">
        <v>13</v>
      </c>
      <c r="M8" s="1613" t="s">
        <v>489</v>
      </c>
      <c r="N8" s="1751" t="s">
        <v>14</v>
      </c>
      <c r="O8" s="1751" t="s">
        <v>15</v>
      </c>
      <c r="P8" s="1751" t="s">
        <v>16</v>
      </c>
      <c r="Q8" s="1751" t="s">
        <v>17</v>
      </c>
      <c r="R8" s="1751" t="s">
        <v>18</v>
      </c>
      <c r="S8" s="1162" t="s">
        <v>376</v>
      </c>
      <c r="T8" s="1162" t="s">
        <v>381</v>
      </c>
      <c r="U8" s="1162" t="s">
        <v>491</v>
      </c>
      <c r="V8" s="1162" t="s">
        <v>492</v>
      </c>
      <c r="W8" s="1162" t="s">
        <v>490</v>
      </c>
      <c r="X8" s="4191"/>
      <c r="Y8" s="4408"/>
    </row>
    <row r="9" spans="1:25" s="1769" customFormat="1" ht="13.5" customHeight="1" thickBot="1">
      <c r="A9" s="735">
        <v>1</v>
      </c>
      <c r="B9" s="736">
        <v>2</v>
      </c>
      <c r="C9" s="737" t="s">
        <v>148</v>
      </c>
      <c r="D9" s="737" t="s">
        <v>149</v>
      </c>
      <c r="E9" s="737" t="s">
        <v>150</v>
      </c>
      <c r="F9" s="738">
        <v>8</v>
      </c>
      <c r="G9" s="738">
        <v>9</v>
      </c>
      <c r="H9" s="738">
        <v>10</v>
      </c>
      <c r="I9" s="739" t="s">
        <v>151</v>
      </c>
      <c r="J9" s="740" t="s">
        <v>152</v>
      </c>
      <c r="K9" s="739" t="s">
        <v>153</v>
      </c>
      <c r="L9" s="739" t="s">
        <v>154</v>
      </c>
      <c r="M9" s="347">
        <v>5</v>
      </c>
      <c r="N9" s="347" t="s">
        <v>493</v>
      </c>
      <c r="O9" s="347">
        <v>6</v>
      </c>
      <c r="P9" s="347">
        <v>7</v>
      </c>
      <c r="Q9" s="347">
        <v>8</v>
      </c>
      <c r="R9" s="348">
        <v>9</v>
      </c>
      <c r="S9" s="348">
        <v>10</v>
      </c>
      <c r="T9" s="348">
        <v>11</v>
      </c>
      <c r="U9" s="348">
        <v>12</v>
      </c>
      <c r="V9" s="348">
        <v>13</v>
      </c>
      <c r="W9" s="348">
        <v>14</v>
      </c>
      <c r="X9" s="349">
        <v>15</v>
      </c>
      <c r="Y9" s="350">
        <v>16</v>
      </c>
    </row>
    <row r="10" spans="1:25" s="1769" customFormat="1" ht="17.25" customHeight="1">
      <c r="A10" s="741"/>
      <c r="B10" s="1008" t="s">
        <v>92</v>
      </c>
      <c r="C10" s="1009"/>
      <c r="D10" s="1010">
        <f>+D11+D12</f>
        <v>1096938</v>
      </c>
      <c r="E10" s="1010">
        <f t="shared" ref="E10:Q10" si="0">+E11+E12</f>
        <v>0</v>
      </c>
      <c r="F10" s="1010">
        <f t="shared" si="0"/>
        <v>0</v>
      </c>
      <c r="G10" s="1010">
        <f t="shared" si="0"/>
        <v>0</v>
      </c>
      <c r="H10" s="1010">
        <f t="shared" si="0"/>
        <v>0</v>
      </c>
      <c r="I10" s="1010">
        <f t="shared" si="0"/>
        <v>0</v>
      </c>
      <c r="J10" s="1010">
        <f t="shared" si="0"/>
        <v>0</v>
      </c>
      <c r="K10" s="1010">
        <f t="shared" si="0"/>
        <v>0</v>
      </c>
      <c r="L10" s="1010">
        <f t="shared" si="0"/>
        <v>147942</v>
      </c>
      <c r="M10" s="1010">
        <f t="shared" si="0"/>
        <v>323399</v>
      </c>
      <c r="N10" s="1010">
        <f t="shared" si="0"/>
        <v>175457</v>
      </c>
      <c r="O10" s="1010">
        <f t="shared" si="0"/>
        <v>401120</v>
      </c>
      <c r="P10" s="1010">
        <f t="shared" si="0"/>
        <v>222829</v>
      </c>
      <c r="Q10" s="1010">
        <f t="shared" si="0"/>
        <v>149590</v>
      </c>
      <c r="R10" s="1010">
        <f t="shared" ref="R10:W10" si="1">+R11+R12</f>
        <v>0</v>
      </c>
      <c r="S10" s="1010">
        <f t="shared" si="1"/>
        <v>0</v>
      </c>
      <c r="T10" s="1010">
        <f t="shared" si="1"/>
        <v>0</v>
      </c>
      <c r="U10" s="1010">
        <f t="shared" si="1"/>
        <v>0</v>
      </c>
      <c r="V10" s="1010">
        <f t="shared" si="1"/>
        <v>0</v>
      </c>
      <c r="W10" s="1010">
        <f t="shared" si="1"/>
        <v>0</v>
      </c>
      <c r="X10" s="351">
        <f>+X11+X12</f>
        <v>372419</v>
      </c>
      <c r="Y10" s="743"/>
    </row>
    <row r="11" spans="1:25" s="1769" customFormat="1" ht="13.5" customHeight="1">
      <c r="A11" s="741"/>
      <c r="B11" s="993" t="s">
        <v>93</v>
      </c>
      <c r="C11" s="994"/>
      <c r="D11" s="995">
        <f>+D22+D33+D44+D51+D58</f>
        <v>1096938</v>
      </c>
      <c r="E11" s="995">
        <f t="shared" ref="E11:Q11" si="2">+E22+E33+E44+E51+E58</f>
        <v>0</v>
      </c>
      <c r="F11" s="995">
        <f t="shared" si="2"/>
        <v>0</v>
      </c>
      <c r="G11" s="995">
        <f t="shared" si="2"/>
        <v>0</v>
      </c>
      <c r="H11" s="995">
        <f t="shared" si="2"/>
        <v>0</v>
      </c>
      <c r="I11" s="995">
        <f t="shared" si="2"/>
        <v>0</v>
      </c>
      <c r="J11" s="995">
        <f t="shared" si="2"/>
        <v>0</v>
      </c>
      <c r="K11" s="995">
        <f t="shared" si="2"/>
        <v>0</v>
      </c>
      <c r="L11" s="995">
        <f t="shared" si="2"/>
        <v>147942</v>
      </c>
      <c r="M11" s="995">
        <f t="shared" si="2"/>
        <v>323399</v>
      </c>
      <c r="N11" s="995">
        <f t="shared" si="2"/>
        <v>175457</v>
      </c>
      <c r="O11" s="995">
        <f t="shared" si="2"/>
        <v>401120</v>
      </c>
      <c r="P11" s="995">
        <f t="shared" si="2"/>
        <v>222829</v>
      </c>
      <c r="Q11" s="995">
        <f t="shared" si="2"/>
        <v>149590</v>
      </c>
      <c r="R11" s="995">
        <f t="shared" ref="R11:W11" si="3">+R22+R33+R44+R51</f>
        <v>0</v>
      </c>
      <c r="S11" s="995">
        <f t="shared" si="3"/>
        <v>0</v>
      </c>
      <c r="T11" s="995">
        <f t="shared" si="3"/>
        <v>0</v>
      </c>
      <c r="U11" s="995">
        <f t="shared" si="3"/>
        <v>0</v>
      </c>
      <c r="V11" s="995">
        <f t="shared" si="3"/>
        <v>0</v>
      </c>
      <c r="W11" s="995">
        <f t="shared" si="3"/>
        <v>0</v>
      </c>
      <c r="X11" s="354">
        <f>SUM(P11:S11)</f>
        <v>372419</v>
      </c>
      <c r="Y11" s="743"/>
    </row>
    <row r="12" spans="1:25" s="1769" customFormat="1" ht="13.5" customHeight="1" thickBot="1">
      <c r="A12" s="741"/>
      <c r="B12" s="1011" t="s">
        <v>21</v>
      </c>
      <c r="C12" s="994"/>
      <c r="D12" s="995">
        <v>0</v>
      </c>
      <c r="E12" s="995">
        <v>0</v>
      </c>
      <c r="F12" s="995">
        <v>0</v>
      </c>
      <c r="G12" s="995">
        <v>0</v>
      </c>
      <c r="H12" s="995">
        <v>0</v>
      </c>
      <c r="I12" s="995">
        <v>0</v>
      </c>
      <c r="J12" s="995">
        <v>0</v>
      </c>
      <c r="K12" s="995">
        <v>0</v>
      </c>
      <c r="L12" s="995">
        <v>0</v>
      </c>
      <c r="M12" s="995">
        <v>0</v>
      </c>
      <c r="N12" s="995">
        <v>0</v>
      </c>
      <c r="O12" s="995">
        <v>0</v>
      </c>
      <c r="P12" s="995">
        <v>0</v>
      </c>
      <c r="Q12" s="995">
        <v>0</v>
      </c>
      <c r="R12" s="995">
        <v>0</v>
      </c>
      <c r="S12" s="995">
        <v>0</v>
      </c>
      <c r="T12" s="995">
        <v>0</v>
      </c>
      <c r="U12" s="995">
        <v>0</v>
      </c>
      <c r="V12" s="995">
        <v>0</v>
      </c>
      <c r="W12" s="995">
        <v>0</v>
      </c>
      <c r="X12" s="354">
        <f>SUM(P12:W12)</f>
        <v>0</v>
      </c>
      <c r="Y12" s="743"/>
    </row>
    <row r="13" spans="1:25" ht="14.25" customHeight="1">
      <c r="A13" s="745"/>
      <c r="B13" s="746" t="s">
        <v>22</v>
      </c>
      <c r="C13" s="747"/>
      <c r="D13" s="748">
        <f>+D14+D16</f>
        <v>1096938</v>
      </c>
      <c r="E13" s="748">
        <f t="shared" ref="E13:Q13" si="4">+E14+E16</f>
        <v>0</v>
      </c>
      <c r="F13" s="748">
        <f t="shared" si="4"/>
        <v>0</v>
      </c>
      <c r="G13" s="748">
        <f t="shared" si="4"/>
        <v>0</v>
      </c>
      <c r="H13" s="748">
        <f t="shared" si="4"/>
        <v>0</v>
      </c>
      <c r="I13" s="748">
        <f t="shared" si="4"/>
        <v>0</v>
      </c>
      <c r="J13" s="748">
        <f t="shared" si="4"/>
        <v>0</v>
      </c>
      <c r="K13" s="748">
        <f t="shared" si="4"/>
        <v>0</v>
      </c>
      <c r="L13" s="748">
        <f t="shared" si="4"/>
        <v>147942</v>
      </c>
      <c r="M13" s="748">
        <f t="shared" si="4"/>
        <v>323399</v>
      </c>
      <c r="N13" s="748">
        <f t="shared" si="4"/>
        <v>175457</v>
      </c>
      <c r="O13" s="748">
        <f t="shared" si="4"/>
        <v>401120</v>
      </c>
      <c r="P13" s="748">
        <f t="shared" si="4"/>
        <v>222829</v>
      </c>
      <c r="Q13" s="748">
        <f t="shared" si="4"/>
        <v>149590</v>
      </c>
      <c r="R13" s="748">
        <f>+R14+R16</f>
        <v>0</v>
      </c>
      <c r="S13" s="748">
        <f t="shared" ref="S13:T13" si="5">+S14+S16</f>
        <v>0</v>
      </c>
      <c r="T13" s="748">
        <f t="shared" si="5"/>
        <v>0</v>
      </c>
      <c r="U13" s="748">
        <f t="shared" ref="U13:W13" si="6">+U14+U16</f>
        <v>0</v>
      </c>
      <c r="V13" s="748">
        <f t="shared" si="6"/>
        <v>0</v>
      </c>
      <c r="W13" s="748">
        <f t="shared" si="6"/>
        <v>0</v>
      </c>
      <c r="X13" s="852">
        <f>+X14+X16</f>
        <v>372419</v>
      </c>
      <c r="Y13" s="743"/>
    </row>
    <row r="14" spans="1:25" ht="14.25" customHeight="1">
      <c r="A14" s="741"/>
      <c r="B14" s="749" t="s">
        <v>23</v>
      </c>
      <c r="C14" s="750"/>
      <c r="D14" s="751">
        <f>+D15</f>
        <v>349415</v>
      </c>
      <c r="E14" s="751">
        <f t="shared" ref="E14:W14" si="7">+E15</f>
        <v>0</v>
      </c>
      <c r="F14" s="751">
        <f t="shared" si="7"/>
        <v>0</v>
      </c>
      <c r="G14" s="751">
        <f t="shared" si="7"/>
        <v>0</v>
      </c>
      <c r="H14" s="751">
        <f t="shared" si="7"/>
        <v>0</v>
      </c>
      <c r="I14" s="751">
        <f t="shared" si="7"/>
        <v>0</v>
      </c>
      <c r="J14" s="751">
        <f t="shared" si="7"/>
        <v>0</v>
      </c>
      <c r="K14" s="751">
        <f t="shared" si="7"/>
        <v>0</v>
      </c>
      <c r="L14" s="751">
        <f t="shared" si="7"/>
        <v>64805</v>
      </c>
      <c r="M14" s="751">
        <f t="shared" si="7"/>
        <v>135277</v>
      </c>
      <c r="N14" s="751">
        <f t="shared" si="7"/>
        <v>70472</v>
      </c>
      <c r="O14" s="751">
        <f t="shared" si="7"/>
        <v>70770</v>
      </c>
      <c r="P14" s="751">
        <f t="shared" si="7"/>
        <v>73485</v>
      </c>
      <c r="Q14" s="751">
        <f t="shared" si="7"/>
        <v>69883</v>
      </c>
      <c r="R14" s="751">
        <f t="shared" si="7"/>
        <v>0</v>
      </c>
      <c r="S14" s="751">
        <f t="shared" si="7"/>
        <v>0</v>
      </c>
      <c r="T14" s="751">
        <f t="shared" si="7"/>
        <v>0</v>
      </c>
      <c r="U14" s="751">
        <f t="shared" si="7"/>
        <v>0</v>
      </c>
      <c r="V14" s="751">
        <f t="shared" si="7"/>
        <v>0</v>
      </c>
      <c r="W14" s="751">
        <f t="shared" si="7"/>
        <v>0</v>
      </c>
      <c r="X14" s="853">
        <f>+X15</f>
        <v>143368</v>
      </c>
      <c r="Y14" s="752"/>
    </row>
    <row r="15" spans="1:25" ht="13.5" customHeight="1">
      <c r="A15" s="753"/>
      <c r="B15" s="754" t="s">
        <v>24</v>
      </c>
      <c r="C15" s="755"/>
      <c r="D15" s="756">
        <f>+D24+D35</f>
        <v>349415</v>
      </c>
      <c r="E15" s="756">
        <f t="shared" ref="E15:Q15" si="8">+E24+E35</f>
        <v>0</v>
      </c>
      <c r="F15" s="756">
        <f t="shared" si="8"/>
        <v>0</v>
      </c>
      <c r="G15" s="756">
        <f t="shared" si="8"/>
        <v>0</v>
      </c>
      <c r="H15" s="756">
        <f t="shared" si="8"/>
        <v>0</v>
      </c>
      <c r="I15" s="756">
        <f t="shared" si="8"/>
        <v>0</v>
      </c>
      <c r="J15" s="756">
        <f t="shared" si="8"/>
        <v>0</v>
      </c>
      <c r="K15" s="756">
        <f t="shared" si="8"/>
        <v>0</v>
      </c>
      <c r="L15" s="756">
        <f>+L24+L35</f>
        <v>64805</v>
      </c>
      <c r="M15" s="756">
        <f>+M24+M35</f>
        <v>135277</v>
      </c>
      <c r="N15" s="756">
        <f t="shared" si="8"/>
        <v>70472</v>
      </c>
      <c r="O15" s="756">
        <f t="shared" si="8"/>
        <v>70770</v>
      </c>
      <c r="P15" s="756">
        <f t="shared" si="8"/>
        <v>73485</v>
      </c>
      <c r="Q15" s="756">
        <f t="shared" si="8"/>
        <v>69883</v>
      </c>
      <c r="R15" s="756">
        <f>+R24+R35</f>
        <v>0</v>
      </c>
      <c r="S15" s="756">
        <f t="shared" ref="S15:T15" si="9">+S24+S35</f>
        <v>0</v>
      </c>
      <c r="T15" s="756">
        <f t="shared" si="9"/>
        <v>0</v>
      </c>
      <c r="U15" s="756">
        <f t="shared" ref="U15:W15" si="10">+U24+U35</f>
        <v>0</v>
      </c>
      <c r="V15" s="756">
        <f t="shared" si="10"/>
        <v>0</v>
      </c>
      <c r="W15" s="756">
        <f t="shared" si="10"/>
        <v>0</v>
      </c>
      <c r="X15" s="854">
        <f>+T15+S15+R15+Q15+P15</f>
        <v>143368</v>
      </c>
      <c r="Y15" s="743"/>
    </row>
    <row r="16" spans="1:25" ht="14.25" customHeight="1">
      <c r="A16" s="741"/>
      <c r="B16" s="757" t="s">
        <v>30</v>
      </c>
      <c r="C16" s="758"/>
      <c r="D16" s="759">
        <f>SUM(D17)</f>
        <v>747523</v>
      </c>
      <c r="E16" s="759">
        <f t="shared" ref="E16:O16" si="11">SUM(E17)</f>
        <v>0</v>
      </c>
      <c r="F16" s="759">
        <f t="shared" si="11"/>
        <v>0</v>
      </c>
      <c r="G16" s="759">
        <f t="shared" si="11"/>
        <v>0</v>
      </c>
      <c r="H16" s="759">
        <f t="shared" si="11"/>
        <v>0</v>
      </c>
      <c r="I16" s="759">
        <f t="shared" si="11"/>
        <v>0</v>
      </c>
      <c r="J16" s="759">
        <f t="shared" si="11"/>
        <v>0</v>
      </c>
      <c r="K16" s="759">
        <f t="shared" si="11"/>
        <v>0</v>
      </c>
      <c r="L16" s="759">
        <f t="shared" si="11"/>
        <v>83137</v>
      </c>
      <c r="M16" s="759">
        <f t="shared" si="11"/>
        <v>188122</v>
      </c>
      <c r="N16" s="759">
        <f t="shared" si="11"/>
        <v>104985</v>
      </c>
      <c r="O16" s="759">
        <f t="shared" si="11"/>
        <v>330350</v>
      </c>
      <c r="P16" s="759">
        <f>SUM(P17)</f>
        <v>149344</v>
      </c>
      <c r="Q16" s="759">
        <f>SUM(Q17)</f>
        <v>79707</v>
      </c>
      <c r="R16" s="751">
        <f>SUM(R17)</f>
        <v>0</v>
      </c>
      <c r="S16" s="751">
        <f t="shared" ref="S16:W16" si="12">SUM(S17)</f>
        <v>0</v>
      </c>
      <c r="T16" s="751">
        <f t="shared" si="12"/>
        <v>0</v>
      </c>
      <c r="U16" s="751">
        <f t="shared" si="12"/>
        <v>0</v>
      </c>
      <c r="V16" s="751">
        <f t="shared" si="12"/>
        <v>0</v>
      </c>
      <c r="W16" s="751">
        <f t="shared" si="12"/>
        <v>0</v>
      </c>
      <c r="X16" s="853">
        <f>SUM(X17)</f>
        <v>229051</v>
      </c>
      <c r="Y16" s="752"/>
    </row>
    <row r="17" spans="1:26" ht="12" customHeight="1">
      <c r="A17" s="760"/>
      <c r="B17" s="761" t="s">
        <v>32</v>
      </c>
      <c r="C17" s="762"/>
      <c r="D17" s="756">
        <f>+D26+D37+D46+D53+D60</f>
        <v>747523</v>
      </c>
      <c r="E17" s="756">
        <f t="shared" ref="E17:Q17" si="13">+E26+E37+E46+E53+E60</f>
        <v>0</v>
      </c>
      <c r="F17" s="756">
        <f t="shared" si="13"/>
        <v>0</v>
      </c>
      <c r="G17" s="756">
        <f t="shared" si="13"/>
        <v>0</v>
      </c>
      <c r="H17" s="756">
        <f t="shared" si="13"/>
        <v>0</v>
      </c>
      <c r="I17" s="756">
        <f t="shared" si="13"/>
        <v>0</v>
      </c>
      <c r="J17" s="756">
        <f t="shared" si="13"/>
        <v>0</v>
      </c>
      <c r="K17" s="756">
        <f t="shared" si="13"/>
        <v>0</v>
      </c>
      <c r="L17" s="756">
        <f t="shared" si="13"/>
        <v>83137</v>
      </c>
      <c r="M17" s="756">
        <f t="shared" si="13"/>
        <v>188122</v>
      </c>
      <c r="N17" s="756">
        <f t="shared" si="13"/>
        <v>104985</v>
      </c>
      <c r="O17" s="756">
        <f t="shared" si="13"/>
        <v>330350</v>
      </c>
      <c r="P17" s="756">
        <f t="shared" si="13"/>
        <v>149344</v>
      </c>
      <c r="Q17" s="756">
        <f t="shared" si="13"/>
        <v>79707</v>
      </c>
      <c r="R17" s="756">
        <f t="shared" ref="R17:T17" si="14">+R26+R37+R46+R53</f>
        <v>0</v>
      </c>
      <c r="S17" s="756">
        <f t="shared" si="14"/>
        <v>0</v>
      </c>
      <c r="T17" s="756">
        <f t="shared" si="14"/>
        <v>0</v>
      </c>
      <c r="U17" s="756">
        <f t="shared" ref="U17:W17" si="15">+U26+U37+U46+U53</f>
        <v>0</v>
      </c>
      <c r="V17" s="756">
        <f t="shared" si="15"/>
        <v>0</v>
      </c>
      <c r="W17" s="756">
        <f t="shared" si="15"/>
        <v>0</v>
      </c>
      <c r="X17" s="1572">
        <f>+T17+S17+R17+Q17+P17</f>
        <v>229051</v>
      </c>
      <c r="Y17" s="763"/>
    </row>
    <row r="18" spans="1:26" ht="14.25" customHeight="1">
      <c r="A18" s="760"/>
      <c r="B18" s="512" t="s">
        <v>34</v>
      </c>
      <c r="C18" s="764"/>
      <c r="D18" s="765">
        <f>+D19</f>
        <v>747560</v>
      </c>
      <c r="E18" s="765">
        <f t="shared" ref="E18:U19" si="16">+E19</f>
        <v>0</v>
      </c>
      <c r="F18" s="765">
        <f t="shared" si="16"/>
        <v>0</v>
      </c>
      <c r="G18" s="765">
        <f t="shared" si="16"/>
        <v>0</v>
      </c>
      <c r="H18" s="765">
        <f t="shared" si="16"/>
        <v>0</v>
      </c>
      <c r="I18" s="765">
        <f t="shared" si="16"/>
        <v>0</v>
      </c>
      <c r="J18" s="765">
        <f t="shared" si="16"/>
        <v>0</v>
      </c>
      <c r="K18" s="765">
        <f t="shared" si="16"/>
        <v>0</v>
      </c>
      <c r="L18" s="765">
        <f t="shared" si="16"/>
        <v>107149</v>
      </c>
      <c r="M18" s="765">
        <f t="shared" si="16"/>
        <v>343055</v>
      </c>
      <c r="N18" s="765">
        <f t="shared" si="16"/>
        <v>235906</v>
      </c>
      <c r="O18" s="765">
        <f>+O19</f>
        <v>151052</v>
      </c>
      <c r="P18" s="765">
        <f t="shared" si="16"/>
        <v>150550</v>
      </c>
      <c r="Q18" s="765">
        <f t="shared" si="16"/>
        <v>79707</v>
      </c>
      <c r="R18" s="766">
        <f t="shared" si="16"/>
        <v>23196</v>
      </c>
      <c r="S18" s="766">
        <f t="shared" si="16"/>
        <v>0</v>
      </c>
      <c r="T18" s="766">
        <f t="shared" si="16"/>
        <v>0</v>
      </c>
      <c r="U18" s="766">
        <f t="shared" si="16"/>
        <v>0</v>
      </c>
      <c r="V18" s="766">
        <f t="shared" ref="U18:W19" si="17">+V19</f>
        <v>0</v>
      </c>
      <c r="W18" s="766">
        <f t="shared" si="17"/>
        <v>0</v>
      </c>
      <c r="X18" s="4387" t="s">
        <v>77</v>
      </c>
      <c r="Y18" s="743"/>
    </row>
    <row r="19" spans="1:26" ht="14.25" customHeight="1">
      <c r="A19" s="741"/>
      <c r="B19" s="757" t="s">
        <v>30</v>
      </c>
      <c r="C19" s="758"/>
      <c r="D19" s="759">
        <f>+D20</f>
        <v>747560</v>
      </c>
      <c r="E19" s="759">
        <f t="shared" si="16"/>
        <v>0</v>
      </c>
      <c r="F19" s="759">
        <f t="shared" si="16"/>
        <v>0</v>
      </c>
      <c r="G19" s="759">
        <f t="shared" si="16"/>
        <v>0</v>
      </c>
      <c r="H19" s="759">
        <f t="shared" si="16"/>
        <v>0</v>
      </c>
      <c r="I19" s="759">
        <f t="shared" si="16"/>
        <v>0</v>
      </c>
      <c r="J19" s="759">
        <f t="shared" si="16"/>
        <v>0</v>
      </c>
      <c r="K19" s="759">
        <f t="shared" si="16"/>
        <v>0</v>
      </c>
      <c r="L19" s="759">
        <f t="shared" si="16"/>
        <v>107149</v>
      </c>
      <c r="M19" s="759">
        <f t="shared" si="16"/>
        <v>343055</v>
      </c>
      <c r="N19" s="759">
        <f t="shared" si="16"/>
        <v>235906</v>
      </c>
      <c r="O19" s="759">
        <f t="shared" si="16"/>
        <v>151052</v>
      </c>
      <c r="P19" s="759">
        <f t="shared" si="16"/>
        <v>150550</v>
      </c>
      <c r="Q19" s="759">
        <f t="shared" si="16"/>
        <v>79707</v>
      </c>
      <c r="R19" s="751">
        <f t="shared" si="16"/>
        <v>23196</v>
      </c>
      <c r="S19" s="751">
        <f t="shared" si="16"/>
        <v>0</v>
      </c>
      <c r="T19" s="751">
        <f t="shared" si="16"/>
        <v>0</v>
      </c>
      <c r="U19" s="751">
        <f t="shared" si="17"/>
        <v>0</v>
      </c>
      <c r="V19" s="751">
        <f t="shared" si="17"/>
        <v>0</v>
      </c>
      <c r="W19" s="751">
        <f t="shared" si="17"/>
        <v>0</v>
      </c>
      <c r="X19" s="4388"/>
      <c r="Y19" s="752"/>
    </row>
    <row r="20" spans="1:26" ht="12.75" customHeight="1" thickBot="1">
      <c r="A20" s="767"/>
      <c r="B20" s="761" t="s">
        <v>32</v>
      </c>
      <c r="C20" s="768"/>
      <c r="D20" s="769">
        <f>+D31+D42+D49+D56+D63</f>
        <v>747560</v>
      </c>
      <c r="E20" s="769">
        <f t="shared" ref="E20:R20" si="18">+E31+E42+E49+E56+E63</f>
        <v>0</v>
      </c>
      <c r="F20" s="769">
        <f t="shared" si="18"/>
        <v>0</v>
      </c>
      <c r="G20" s="769">
        <f t="shared" si="18"/>
        <v>0</v>
      </c>
      <c r="H20" s="769">
        <f t="shared" si="18"/>
        <v>0</v>
      </c>
      <c r="I20" s="769">
        <f t="shared" si="18"/>
        <v>0</v>
      </c>
      <c r="J20" s="769">
        <f t="shared" si="18"/>
        <v>0</v>
      </c>
      <c r="K20" s="769">
        <f t="shared" si="18"/>
        <v>0</v>
      </c>
      <c r="L20" s="769">
        <f t="shared" si="18"/>
        <v>107149</v>
      </c>
      <c r="M20" s="769">
        <f t="shared" si="18"/>
        <v>343055</v>
      </c>
      <c r="N20" s="769">
        <f t="shared" si="18"/>
        <v>235906</v>
      </c>
      <c r="O20" s="769">
        <f t="shared" si="18"/>
        <v>151052</v>
      </c>
      <c r="P20" s="769">
        <f t="shared" si="18"/>
        <v>150550</v>
      </c>
      <c r="Q20" s="769">
        <f t="shared" si="18"/>
        <v>79707</v>
      </c>
      <c r="R20" s="769">
        <f t="shared" si="18"/>
        <v>23196</v>
      </c>
      <c r="S20" s="769">
        <f t="shared" ref="S20:T20" si="19">+S31+S42+S49+S56</f>
        <v>0</v>
      </c>
      <c r="T20" s="769">
        <f t="shared" si="19"/>
        <v>0</v>
      </c>
      <c r="U20" s="769">
        <f t="shared" ref="U20:W20" si="20">+U31+U42+U49+U56</f>
        <v>0</v>
      </c>
      <c r="V20" s="769">
        <f t="shared" si="20"/>
        <v>0</v>
      </c>
      <c r="W20" s="769">
        <f t="shared" si="20"/>
        <v>0</v>
      </c>
      <c r="X20" s="4389"/>
      <c r="Y20" s="770"/>
      <c r="Z20" s="876">
        <f>D20-D17</f>
        <v>37</v>
      </c>
    </row>
    <row r="21" spans="1:26" ht="39" hidden="1" customHeight="1">
      <c r="A21" s="4349" t="s">
        <v>79</v>
      </c>
      <c r="B21" s="771" t="s">
        <v>436</v>
      </c>
      <c r="C21" s="772" t="s">
        <v>131</v>
      </c>
      <c r="D21" s="773"/>
      <c r="E21" s="774"/>
      <c r="F21" s="775"/>
      <c r="G21" s="775"/>
      <c r="H21" s="774"/>
      <c r="I21" s="774"/>
      <c r="J21" s="774"/>
      <c r="K21" s="775"/>
      <c r="L21" s="775"/>
      <c r="M21" s="776"/>
      <c r="N21" s="776"/>
      <c r="O21" s="776"/>
      <c r="P21" s="775"/>
      <c r="Q21" s="776"/>
      <c r="R21" s="776"/>
      <c r="S21" s="776"/>
      <c r="T21" s="776"/>
      <c r="U21" s="776"/>
      <c r="V21" s="776"/>
      <c r="W21" s="776"/>
      <c r="X21" s="1574"/>
      <c r="Y21" s="4390"/>
    </row>
    <row r="22" spans="1:26" ht="15" hidden="1" customHeight="1">
      <c r="A22" s="4350"/>
      <c r="B22" s="381" t="s">
        <v>22</v>
      </c>
      <c r="C22" s="1061"/>
      <c r="D22" s="777">
        <f>+D23+D25</f>
        <v>0</v>
      </c>
      <c r="E22" s="777">
        <f t="shared" ref="E22:P22" si="21">+E23+E25</f>
        <v>0</v>
      </c>
      <c r="F22" s="777">
        <f t="shared" si="21"/>
        <v>0</v>
      </c>
      <c r="G22" s="777">
        <f t="shared" si="21"/>
        <v>0</v>
      </c>
      <c r="H22" s="777">
        <f t="shared" si="21"/>
        <v>0</v>
      </c>
      <c r="I22" s="777">
        <f t="shared" si="21"/>
        <v>0</v>
      </c>
      <c r="J22" s="777">
        <f t="shared" si="21"/>
        <v>0</v>
      </c>
      <c r="K22" s="777">
        <f t="shared" si="21"/>
        <v>0</v>
      </c>
      <c r="L22" s="777">
        <f t="shared" si="21"/>
        <v>0</v>
      </c>
      <c r="M22" s="777">
        <f t="shared" si="21"/>
        <v>0</v>
      </c>
      <c r="N22" s="777">
        <f t="shared" si="21"/>
        <v>0</v>
      </c>
      <c r="O22" s="777">
        <f t="shared" si="21"/>
        <v>0</v>
      </c>
      <c r="P22" s="777">
        <f t="shared" si="21"/>
        <v>0</v>
      </c>
      <c r="Q22" s="777">
        <f>+Q23+Q25</f>
        <v>0</v>
      </c>
      <c r="R22" s="777">
        <f>+R23+R25</f>
        <v>0</v>
      </c>
      <c r="S22" s="777">
        <f t="shared" ref="S22:T22" si="22">+S23+S25</f>
        <v>0</v>
      </c>
      <c r="T22" s="777">
        <f t="shared" si="22"/>
        <v>0</v>
      </c>
      <c r="U22" s="777"/>
      <c r="V22" s="777"/>
      <c r="W22" s="777"/>
      <c r="X22" s="778" t="e">
        <f>X23+X25</f>
        <v>#REF!</v>
      </c>
      <c r="Y22" s="4391"/>
    </row>
    <row r="23" spans="1:26" ht="12.75" hidden="1" customHeight="1">
      <c r="A23" s="4350"/>
      <c r="B23" s="779" t="s">
        <v>36</v>
      </c>
      <c r="C23" s="4374" t="s">
        <v>196</v>
      </c>
      <c r="D23" s="780">
        <f>+D24</f>
        <v>0</v>
      </c>
      <c r="E23" s="780">
        <f t="shared" ref="E23:T23" si="23">+E24</f>
        <v>0</v>
      </c>
      <c r="F23" s="780">
        <f t="shared" si="23"/>
        <v>0</v>
      </c>
      <c r="G23" s="780">
        <f t="shared" si="23"/>
        <v>0</v>
      </c>
      <c r="H23" s="780">
        <f t="shared" si="23"/>
        <v>0</v>
      </c>
      <c r="I23" s="780">
        <f t="shared" si="23"/>
        <v>0</v>
      </c>
      <c r="J23" s="780">
        <f t="shared" si="23"/>
        <v>0</v>
      </c>
      <c r="K23" s="780">
        <f t="shared" si="23"/>
        <v>0</v>
      </c>
      <c r="L23" s="780">
        <f t="shared" si="23"/>
        <v>0</v>
      </c>
      <c r="M23" s="780">
        <f t="shared" si="23"/>
        <v>0</v>
      </c>
      <c r="N23" s="780">
        <f t="shared" si="23"/>
        <v>0</v>
      </c>
      <c r="O23" s="780">
        <f t="shared" si="23"/>
        <v>0</v>
      </c>
      <c r="P23" s="780">
        <f t="shared" si="23"/>
        <v>0</v>
      </c>
      <c r="Q23" s="780">
        <f t="shared" si="23"/>
        <v>0</v>
      </c>
      <c r="R23" s="780">
        <f t="shared" si="23"/>
        <v>0</v>
      </c>
      <c r="S23" s="780">
        <f t="shared" si="23"/>
        <v>0</v>
      </c>
      <c r="T23" s="780">
        <f t="shared" si="23"/>
        <v>0</v>
      </c>
      <c r="U23" s="780"/>
      <c r="V23" s="780"/>
      <c r="W23" s="780"/>
      <c r="X23" s="781" t="e">
        <f>+X24</f>
        <v>#REF!</v>
      </c>
      <c r="Y23" s="4391"/>
    </row>
    <row r="24" spans="1:26" ht="12.75" hidden="1" customHeight="1">
      <c r="A24" s="4350"/>
      <c r="B24" s="782" t="s">
        <v>24</v>
      </c>
      <c r="C24" s="4375"/>
      <c r="D24" s="783">
        <f>+M24+N24+O24+P24+Q24+R24+S24+T24</f>
        <v>0</v>
      </c>
      <c r="E24" s="783">
        <f>+F24+G24+H24</f>
        <v>0</v>
      </c>
      <c r="F24" s="783"/>
      <c r="G24" s="783"/>
      <c r="H24" s="783">
        <v>0</v>
      </c>
      <c r="I24" s="783">
        <v>0</v>
      </c>
      <c r="J24" s="783">
        <v>0</v>
      </c>
      <c r="K24" s="783">
        <v>0</v>
      </c>
      <c r="L24" s="783">
        <v>0</v>
      </c>
      <c r="M24" s="783">
        <v>0</v>
      </c>
      <c r="N24" s="783">
        <v>0</v>
      </c>
      <c r="O24" s="783">
        <v>0</v>
      </c>
      <c r="P24" s="784">
        <v>0</v>
      </c>
      <c r="Q24" s="784">
        <v>0</v>
      </c>
      <c r="R24" s="784">
        <v>0</v>
      </c>
      <c r="S24" s="784">
        <v>0</v>
      </c>
      <c r="T24" s="784">
        <v>0</v>
      </c>
      <c r="U24" s="784"/>
      <c r="V24" s="784"/>
      <c r="W24" s="784"/>
      <c r="X24" s="1575" t="e">
        <f>+#REF!+T24+S24+R24+Q24+P24</f>
        <v>#REF!</v>
      </c>
      <c r="Y24" s="4391"/>
    </row>
    <row r="25" spans="1:26" ht="12.75" hidden="1" customHeight="1">
      <c r="A25" s="4350"/>
      <c r="B25" s="525" t="s">
        <v>30</v>
      </c>
      <c r="C25" s="4375"/>
      <c r="D25" s="785">
        <f>E25+I25+J25+K25+L25+N25+O25+P25</f>
        <v>0</v>
      </c>
      <c r="E25" s="785">
        <f>+F25+G25+H25</f>
        <v>0</v>
      </c>
      <c r="F25" s="785">
        <f t="shared" ref="F25:T25" si="24">F26</f>
        <v>0</v>
      </c>
      <c r="G25" s="785">
        <f t="shared" si="24"/>
        <v>0</v>
      </c>
      <c r="H25" s="785">
        <f t="shared" si="24"/>
        <v>0</v>
      </c>
      <c r="I25" s="785">
        <f t="shared" si="24"/>
        <v>0</v>
      </c>
      <c r="J25" s="785">
        <f t="shared" si="24"/>
        <v>0</v>
      </c>
      <c r="K25" s="785">
        <f t="shared" si="24"/>
        <v>0</v>
      </c>
      <c r="L25" s="785">
        <f t="shared" si="24"/>
        <v>0</v>
      </c>
      <c r="M25" s="785">
        <f t="shared" si="24"/>
        <v>0</v>
      </c>
      <c r="N25" s="785">
        <f t="shared" si="24"/>
        <v>0</v>
      </c>
      <c r="O25" s="785">
        <f t="shared" si="24"/>
        <v>0</v>
      </c>
      <c r="P25" s="785">
        <f t="shared" si="24"/>
        <v>0</v>
      </c>
      <c r="Q25" s="785">
        <f t="shared" si="24"/>
        <v>0</v>
      </c>
      <c r="R25" s="785">
        <f t="shared" si="24"/>
        <v>0</v>
      </c>
      <c r="S25" s="785">
        <f t="shared" si="24"/>
        <v>0</v>
      </c>
      <c r="T25" s="785">
        <f t="shared" si="24"/>
        <v>0</v>
      </c>
      <c r="U25" s="785"/>
      <c r="V25" s="785"/>
      <c r="W25" s="785"/>
      <c r="X25" s="781" t="e">
        <f>+X26</f>
        <v>#REF!</v>
      </c>
      <c r="Y25" s="4391"/>
    </row>
    <row r="26" spans="1:26" ht="12.75" hidden="1" thickBot="1">
      <c r="A26" s="4350"/>
      <c r="B26" s="786" t="s">
        <v>32</v>
      </c>
      <c r="C26" s="4352"/>
      <c r="D26" s="787">
        <f>+M26+N26+O26+P26+Q26+R26+S26+T26</f>
        <v>0</v>
      </c>
      <c r="E26" s="788">
        <f>+F26+G26+H26</f>
        <v>0</v>
      </c>
      <c r="F26" s="788"/>
      <c r="G26" s="788"/>
      <c r="H26" s="788">
        <v>0</v>
      </c>
      <c r="I26" s="788">
        <v>0</v>
      </c>
      <c r="J26" s="788">
        <v>0</v>
      </c>
      <c r="K26" s="788">
        <v>0</v>
      </c>
      <c r="L26" s="788">
        <v>0</v>
      </c>
      <c r="M26" s="788">
        <v>0</v>
      </c>
      <c r="N26" s="788">
        <v>0</v>
      </c>
      <c r="O26" s="788">
        <v>0</v>
      </c>
      <c r="P26" s="650">
        <v>0</v>
      </c>
      <c r="Q26" s="650">
        <v>0</v>
      </c>
      <c r="R26" s="650">
        <v>0</v>
      </c>
      <c r="S26" s="650">
        <v>0</v>
      </c>
      <c r="T26" s="650">
        <v>0</v>
      </c>
      <c r="U26" s="650"/>
      <c r="V26" s="650"/>
      <c r="W26" s="650"/>
      <c r="X26" s="1575" t="e">
        <f>+#REF!+T26+S26+R26+Q26+P26</f>
        <v>#REF!</v>
      </c>
      <c r="Y26" s="4391"/>
    </row>
    <row r="27" spans="1:26" ht="12.75" hidden="1" customHeight="1">
      <c r="A27" s="4117"/>
      <c r="B27" s="381" t="s">
        <v>34</v>
      </c>
      <c r="C27" s="789"/>
      <c r="D27" s="777">
        <f>E27+I27+J27+K27+L27+N27+O27+P27</f>
        <v>0</v>
      </c>
      <c r="E27" s="777">
        <f t="shared" ref="E27:P27" si="25">E28+E30</f>
        <v>0</v>
      </c>
      <c r="F27" s="777">
        <f t="shared" si="25"/>
        <v>0</v>
      </c>
      <c r="G27" s="777">
        <f t="shared" si="25"/>
        <v>0</v>
      </c>
      <c r="H27" s="777">
        <f t="shared" si="25"/>
        <v>0</v>
      </c>
      <c r="I27" s="777">
        <f t="shared" si="25"/>
        <v>0</v>
      </c>
      <c r="J27" s="777">
        <f t="shared" si="25"/>
        <v>0</v>
      </c>
      <c r="K27" s="777">
        <f t="shared" si="25"/>
        <v>0</v>
      </c>
      <c r="L27" s="777">
        <f t="shared" si="25"/>
        <v>0</v>
      </c>
      <c r="M27" s="777">
        <f t="shared" si="25"/>
        <v>0</v>
      </c>
      <c r="N27" s="777">
        <f t="shared" si="25"/>
        <v>0</v>
      </c>
      <c r="O27" s="777">
        <f t="shared" si="25"/>
        <v>0</v>
      </c>
      <c r="P27" s="777">
        <f t="shared" si="25"/>
        <v>0</v>
      </c>
      <c r="Q27" s="777">
        <f>Q28+Q30</f>
        <v>0</v>
      </c>
      <c r="R27" s="790">
        <f>R28+R30</f>
        <v>0</v>
      </c>
      <c r="S27" s="790">
        <f t="shared" ref="S27:T27" si="26">S28+S30</f>
        <v>0</v>
      </c>
      <c r="T27" s="790">
        <f t="shared" si="26"/>
        <v>0</v>
      </c>
      <c r="U27" s="1566"/>
      <c r="V27" s="1566"/>
      <c r="W27" s="1566"/>
      <c r="X27" s="4378" t="s">
        <v>77</v>
      </c>
      <c r="Y27" s="4391"/>
    </row>
    <row r="28" spans="1:26" ht="12" hidden="1" customHeight="1">
      <c r="A28" s="4117"/>
      <c r="B28" s="791" t="s">
        <v>36</v>
      </c>
      <c r="C28" s="4374" t="s">
        <v>196</v>
      </c>
      <c r="D28" s="780">
        <f>E28+I28+J28+K28+L28+N28+O28+P28</f>
        <v>0</v>
      </c>
      <c r="E28" s="780">
        <f t="shared" ref="E28:T28" si="27">E29</f>
        <v>0</v>
      </c>
      <c r="F28" s="780">
        <f t="shared" si="27"/>
        <v>0</v>
      </c>
      <c r="G28" s="780">
        <f t="shared" si="27"/>
        <v>0</v>
      </c>
      <c r="H28" s="780">
        <f t="shared" si="27"/>
        <v>0</v>
      </c>
      <c r="I28" s="780">
        <f t="shared" si="27"/>
        <v>0</v>
      </c>
      <c r="J28" s="780">
        <f t="shared" si="27"/>
        <v>0</v>
      </c>
      <c r="K28" s="780">
        <f t="shared" si="27"/>
        <v>0</v>
      </c>
      <c r="L28" s="780">
        <f t="shared" si="27"/>
        <v>0</v>
      </c>
      <c r="M28" s="780"/>
      <c r="N28" s="780">
        <f t="shared" si="27"/>
        <v>0</v>
      </c>
      <c r="O28" s="780">
        <f t="shared" si="27"/>
        <v>0</v>
      </c>
      <c r="P28" s="780">
        <f t="shared" si="27"/>
        <v>0</v>
      </c>
      <c r="Q28" s="780">
        <f t="shared" si="27"/>
        <v>0</v>
      </c>
      <c r="R28" s="1062">
        <f t="shared" si="27"/>
        <v>0</v>
      </c>
      <c r="S28" s="1062">
        <f t="shared" si="27"/>
        <v>0</v>
      </c>
      <c r="T28" s="1062">
        <f t="shared" si="27"/>
        <v>0</v>
      </c>
      <c r="U28" s="1567"/>
      <c r="V28" s="1567"/>
      <c r="W28" s="1567"/>
      <c r="X28" s="4379"/>
      <c r="Y28" s="4391"/>
    </row>
    <row r="29" spans="1:26" ht="12" hidden="1" customHeight="1">
      <c r="A29" s="4117"/>
      <c r="B29" s="792" t="s">
        <v>25</v>
      </c>
      <c r="C29" s="4375"/>
      <c r="D29" s="783">
        <f>E29+I29+J29+K29+L29+N29+O29+P29</f>
        <v>0</v>
      </c>
      <c r="E29" s="793">
        <f>+F29+G29+H29</f>
        <v>0</v>
      </c>
      <c r="F29" s="793"/>
      <c r="G29" s="793"/>
      <c r="H29" s="793">
        <v>0</v>
      </c>
      <c r="I29" s="793">
        <v>0</v>
      </c>
      <c r="J29" s="793">
        <v>0</v>
      </c>
      <c r="K29" s="793">
        <v>0</v>
      </c>
      <c r="L29" s="793">
        <v>0</v>
      </c>
      <c r="M29" s="793"/>
      <c r="N29" s="793">
        <v>0</v>
      </c>
      <c r="O29" s="793">
        <v>0</v>
      </c>
      <c r="P29" s="793">
        <v>0</v>
      </c>
      <c r="Q29" s="793">
        <v>0</v>
      </c>
      <c r="R29" s="793">
        <v>0</v>
      </c>
      <c r="S29" s="793">
        <v>0</v>
      </c>
      <c r="T29" s="793">
        <v>0</v>
      </c>
      <c r="U29" s="1027"/>
      <c r="V29" s="1027"/>
      <c r="W29" s="1027"/>
      <c r="X29" s="4379"/>
      <c r="Y29" s="4391"/>
    </row>
    <row r="30" spans="1:26" ht="13.5" hidden="1" customHeight="1">
      <c r="A30" s="4117"/>
      <c r="B30" s="794" t="s">
        <v>30</v>
      </c>
      <c r="C30" s="4375"/>
      <c r="D30" s="785">
        <f>E30+I30+J30+K30+L30+N30+O30+P30</f>
        <v>0</v>
      </c>
      <c r="E30" s="785">
        <f t="shared" ref="E30:T30" si="28">E31</f>
        <v>0</v>
      </c>
      <c r="F30" s="785">
        <f t="shared" si="28"/>
        <v>0</v>
      </c>
      <c r="G30" s="785">
        <f t="shared" si="28"/>
        <v>0</v>
      </c>
      <c r="H30" s="785">
        <f t="shared" si="28"/>
        <v>0</v>
      </c>
      <c r="I30" s="785">
        <f t="shared" si="28"/>
        <v>0</v>
      </c>
      <c r="J30" s="785">
        <f t="shared" si="28"/>
        <v>0</v>
      </c>
      <c r="K30" s="785">
        <f t="shared" si="28"/>
        <v>0</v>
      </c>
      <c r="L30" s="785">
        <f t="shared" si="28"/>
        <v>0</v>
      </c>
      <c r="M30" s="785">
        <f t="shared" si="28"/>
        <v>0</v>
      </c>
      <c r="N30" s="785">
        <f t="shared" si="28"/>
        <v>0</v>
      </c>
      <c r="O30" s="785">
        <f t="shared" si="28"/>
        <v>0</v>
      </c>
      <c r="P30" s="785">
        <f t="shared" si="28"/>
        <v>0</v>
      </c>
      <c r="Q30" s="785">
        <f t="shared" si="28"/>
        <v>0</v>
      </c>
      <c r="R30" s="795">
        <f t="shared" si="28"/>
        <v>0</v>
      </c>
      <c r="S30" s="795">
        <f t="shared" si="28"/>
        <v>0</v>
      </c>
      <c r="T30" s="795">
        <f t="shared" si="28"/>
        <v>0</v>
      </c>
      <c r="U30" s="1568"/>
      <c r="V30" s="1568"/>
      <c r="W30" s="1568"/>
      <c r="X30" s="4379"/>
      <c r="Y30" s="4391"/>
    </row>
    <row r="31" spans="1:26" ht="13.5" hidden="1" customHeight="1" thickBot="1">
      <c r="A31" s="4118"/>
      <c r="B31" s="1311" t="s">
        <v>32</v>
      </c>
      <c r="C31" s="4353"/>
      <c r="D31" s="796">
        <f>+M31+N31+O31+P31+Q31+R31+S31+T31</f>
        <v>0</v>
      </c>
      <c r="E31" s="797">
        <f>+F31+G31+H31</f>
        <v>0</v>
      </c>
      <c r="F31" s="797"/>
      <c r="G31" s="797"/>
      <c r="H31" s="797">
        <v>0</v>
      </c>
      <c r="I31" s="797">
        <v>0</v>
      </c>
      <c r="J31" s="797">
        <v>0</v>
      </c>
      <c r="K31" s="797">
        <v>0</v>
      </c>
      <c r="L31" s="797">
        <v>0</v>
      </c>
      <c r="M31" s="797">
        <v>0</v>
      </c>
      <c r="N31" s="797">
        <v>0</v>
      </c>
      <c r="O31" s="797">
        <v>0</v>
      </c>
      <c r="P31" s="797">
        <v>0</v>
      </c>
      <c r="Q31" s="797">
        <v>0</v>
      </c>
      <c r="R31" s="797">
        <v>0</v>
      </c>
      <c r="S31" s="797">
        <v>0</v>
      </c>
      <c r="T31" s="797">
        <v>0</v>
      </c>
      <c r="U31" s="599"/>
      <c r="V31" s="599"/>
      <c r="W31" s="599"/>
      <c r="X31" s="4380"/>
      <c r="Y31" s="4392"/>
    </row>
    <row r="32" spans="1:26" ht="24.75" customHeight="1">
      <c r="A32" s="4064" t="s">
        <v>79</v>
      </c>
      <c r="B32" s="1828" t="s">
        <v>543</v>
      </c>
      <c r="C32" s="1841" t="s">
        <v>131</v>
      </c>
      <c r="D32" s="1842"/>
      <c r="E32" s="1843"/>
      <c r="F32" s="1791"/>
      <c r="G32" s="1791"/>
      <c r="H32" s="1843"/>
      <c r="I32" s="1843"/>
      <c r="J32" s="1843"/>
      <c r="K32" s="1791"/>
      <c r="L32" s="1791"/>
      <c r="M32" s="1844"/>
      <c r="N32" s="1844"/>
      <c r="O32" s="1844"/>
      <c r="P32" s="1791"/>
      <c r="Q32" s="1844"/>
      <c r="R32" s="1844"/>
      <c r="S32" s="1844"/>
      <c r="T32" s="1844"/>
      <c r="U32" s="1844"/>
      <c r="V32" s="1844"/>
      <c r="W32" s="1844"/>
      <c r="X32" s="1845"/>
      <c r="Y32" s="4384" t="s">
        <v>195</v>
      </c>
    </row>
    <row r="33" spans="1:25" ht="13.5" customHeight="1">
      <c r="A33" s="4371"/>
      <c r="B33" s="1822" t="s">
        <v>22</v>
      </c>
      <c r="C33" s="1846"/>
      <c r="D33" s="1831">
        <f>+D34+D36</f>
        <v>732930</v>
      </c>
      <c r="E33" s="1831">
        <f t="shared" ref="E33:Q33" si="29">+E34+E36</f>
        <v>0</v>
      </c>
      <c r="F33" s="1831">
        <f t="shared" si="29"/>
        <v>0</v>
      </c>
      <c r="G33" s="1831">
        <f t="shared" si="29"/>
        <v>0</v>
      </c>
      <c r="H33" s="1831">
        <f t="shared" si="29"/>
        <v>0</v>
      </c>
      <c r="I33" s="1831">
        <f t="shared" si="29"/>
        <v>0</v>
      </c>
      <c r="J33" s="1831">
        <f t="shared" si="29"/>
        <v>0</v>
      </c>
      <c r="K33" s="1831">
        <f t="shared" si="29"/>
        <v>0</v>
      </c>
      <c r="L33" s="1831">
        <f t="shared" si="29"/>
        <v>131442</v>
      </c>
      <c r="M33" s="1831">
        <f t="shared" si="29"/>
        <v>286572</v>
      </c>
      <c r="N33" s="1831">
        <f t="shared" si="29"/>
        <v>155130</v>
      </c>
      <c r="O33" s="1831">
        <f t="shared" si="29"/>
        <v>151572</v>
      </c>
      <c r="P33" s="1831">
        <f t="shared" si="29"/>
        <v>149196</v>
      </c>
      <c r="Q33" s="1831">
        <f t="shared" si="29"/>
        <v>145590</v>
      </c>
      <c r="R33" s="1831">
        <f>+R34+R36</f>
        <v>0</v>
      </c>
      <c r="S33" s="1832">
        <f t="shared" ref="S33:W33" si="30">+S34+S36</f>
        <v>0</v>
      </c>
      <c r="T33" s="1832">
        <f t="shared" si="30"/>
        <v>0</v>
      </c>
      <c r="U33" s="1832">
        <f t="shared" si="30"/>
        <v>0</v>
      </c>
      <c r="V33" s="1832">
        <f t="shared" si="30"/>
        <v>0</v>
      </c>
      <c r="W33" s="1832">
        <f t="shared" si="30"/>
        <v>0</v>
      </c>
      <c r="X33" s="1847">
        <f>X34+X36</f>
        <v>294786</v>
      </c>
      <c r="Y33" s="4385"/>
    </row>
    <row r="34" spans="1:25" ht="11.25" customHeight="1">
      <c r="A34" s="4371"/>
      <c r="B34" s="1823" t="s">
        <v>36</v>
      </c>
      <c r="C34" s="4372" t="s">
        <v>196</v>
      </c>
      <c r="D34" s="1833">
        <f>+D35</f>
        <v>349415</v>
      </c>
      <c r="E34" s="1833">
        <f t="shared" ref="E34:W34" si="31">+E35</f>
        <v>0</v>
      </c>
      <c r="F34" s="1833">
        <f t="shared" si="31"/>
        <v>0</v>
      </c>
      <c r="G34" s="1833">
        <f t="shared" si="31"/>
        <v>0</v>
      </c>
      <c r="H34" s="1833">
        <f t="shared" si="31"/>
        <v>0</v>
      </c>
      <c r="I34" s="1833">
        <f t="shared" si="31"/>
        <v>0</v>
      </c>
      <c r="J34" s="1833">
        <f t="shared" si="31"/>
        <v>0</v>
      </c>
      <c r="K34" s="1833">
        <f t="shared" si="31"/>
        <v>0</v>
      </c>
      <c r="L34" s="1833">
        <f t="shared" si="31"/>
        <v>64805</v>
      </c>
      <c r="M34" s="1833">
        <f t="shared" si="31"/>
        <v>135277</v>
      </c>
      <c r="N34" s="1833">
        <f t="shared" si="31"/>
        <v>70472</v>
      </c>
      <c r="O34" s="1833">
        <f t="shared" si="31"/>
        <v>70770</v>
      </c>
      <c r="P34" s="1833">
        <f t="shared" si="31"/>
        <v>73485</v>
      </c>
      <c r="Q34" s="1833">
        <f t="shared" si="31"/>
        <v>69883</v>
      </c>
      <c r="R34" s="1833">
        <f t="shared" si="31"/>
        <v>0</v>
      </c>
      <c r="S34" s="1834">
        <f t="shared" si="31"/>
        <v>0</v>
      </c>
      <c r="T34" s="1834">
        <f t="shared" si="31"/>
        <v>0</v>
      </c>
      <c r="U34" s="1834">
        <f t="shared" si="31"/>
        <v>0</v>
      </c>
      <c r="V34" s="1834">
        <f t="shared" si="31"/>
        <v>0</v>
      </c>
      <c r="W34" s="1834">
        <f t="shared" si="31"/>
        <v>0</v>
      </c>
      <c r="X34" s="1848">
        <f>+X35</f>
        <v>143368</v>
      </c>
      <c r="Y34" s="4385"/>
    </row>
    <row r="35" spans="1:25" ht="13.5" customHeight="1">
      <c r="A35" s="4371"/>
      <c r="B35" s="1849" t="s">
        <v>24</v>
      </c>
      <c r="C35" s="4373"/>
      <c r="D35" s="1835">
        <f>M35+O35+P35+Q35+R35+S35+T35+U35+V35+W35</f>
        <v>349415</v>
      </c>
      <c r="E35" s="1835">
        <f>+F35+G35+H35</f>
        <v>0</v>
      </c>
      <c r="F35" s="1835"/>
      <c r="G35" s="1835"/>
      <c r="H35" s="1835">
        <v>0</v>
      </c>
      <c r="I35" s="1835">
        <v>0</v>
      </c>
      <c r="J35" s="1835">
        <v>0</v>
      </c>
      <c r="K35" s="1835">
        <v>0</v>
      </c>
      <c r="L35" s="1835">
        <f>69883-5078</f>
        <v>64805</v>
      </c>
      <c r="M35" s="1835">
        <f>+L35+N35</f>
        <v>135277</v>
      </c>
      <c r="N35" s="1835">
        <v>70472</v>
      </c>
      <c r="O35" s="1835">
        <f>74372-3602</f>
        <v>70770</v>
      </c>
      <c r="P35" s="1837">
        <f>69883+3602</f>
        <v>73485</v>
      </c>
      <c r="Q35" s="1837">
        <v>69883</v>
      </c>
      <c r="R35" s="1837">
        <v>0</v>
      </c>
      <c r="S35" s="1838">
        <v>0</v>
      </c>
      <c r="T35" s="1838">
        <v>0</v>
      </c>
      <c r="U35" s="1838">
        <v>0</v>
      </c>
      <c r="V35" s="1838">
        <v>0</v>
      </c>
      <c r="W35" s="1838">
        <v>0</v>
      </c>
      <c r="X35" s="1850">
        <f>+P35+Q35+R35+S35</f>
        <v>143368</v>
      </c>
      <c r="Y35" s="4385"/>
    </row>
    <row r="36" spans="1:25" ht="13.5" customHeight="1">
      <c r="A36" s="4371"/>
      <c r="B36" s="1851" t="s">
        <v>30</v>
      </c>
      <c r="C36" s="4373"/>
      <c r="D36" s="1830">
        <f>+D37</f>
        <v>383515</v>
      </c>
      <c r="E36" s="1830">
        <f>+F36+G36+H36</f>
        <v>0</v>
      </c>
      <c r="F36" s="1830">
        <f t="shared" ref="F36:W36" si="32">F37</f>
        <v>0</v>
      </c>
      <c r="G36" s="1830">
        <f t="shared" si="32"/>
        <v>0</v>
      </c>
      <c r="H36" s="1830">
        <f t="shared" si="32"/>
        <v>0</v>
      </c>
      <c r="I36" s="1830">
        <f t="shared" si="32"/>
        <v>0</v>
      </c>
      <c r="J36" s="1830">
        <f t="shared" si="32"/>
        <v>0</v>
      </c>
      <c r="K36" s="1830">
        <f t="shared" si="32"/>
        <v>0</v>
      </c>
      <c r="L36" s="1830">
        <f t="shared" si="32"/>
        <v>66637</v>
      </c>
      <c r="M36" s="1830">
        <f t="shared" si="32"/>
        <v>151295</v>
      </c>
      <c r="N36" s="1830">
        <f t="shared" si="32"/>
        <v>84658</v>
      </c>
      <c r="O36" s="1830">
        <f t="shared" si="32"/>
        <v>80802</v>
      </c>
      <c r="P36" s="1830">
        <f t="shared" si="32"/>
        <v>75711</v>
      </c>
      <c r="Q36" s="1830">
        <f t="shared" si="32"/>
        <v>75707</v>
      </c>
      <c r="R36" s="1830">
        <f t="shared" si="32"/>
        <v>0</v>
      </c>
      <c r="S36" s="1839">
        <f t="shared" si="32"/>
        <v>0</v>
      </c>
      <c r="T36" s="1839">
        <f t="shared" si="32"/>
        <v>0</v>
      </c>
      <c r="U36" s="1839">
        <f t="shared" si="32"/>
        <v>0</v>
      </c>
      <c r="V36" s="1839">
        <f t="shared" si="32"/>
        <v>0</v>
      </c>
      <c r="W36" s="1839">
        <f t="shared" si="32"/>
        <v>0</v>
      </c>
      <c r="X36" s="1848">
        <f>+X37</f>
        <v>151418</v>
      </c>
      <c r="Y36" s="4385"/>
    </row>
    <row r="37" spans="1:25" ht="12">
      <c r="A37" s="4371"/>
      <c r="B37" s="1852" t="s">
        <v>32</v>
      </c>
      <c r="C37" s="4366"/>
      <c r="D37" s="1835">
        <f>M37+O37+P37+Q37+R37+S37+T37+U37+V37+W37</f>
        <v>383515</v>
      </c>
      <c r="E37" s="1853">
        <f>+F37+G37+H37</f>
        <v>0</v>
      </c>
      <c r="F37" s="1853"/>
      <c r="G37" s="1853"/>
      <c r="H37" s="1853">
        <v>0</v>
      </c>
      <c r="I37" s="1853">
        <v>0</v>
      </c>
      <c r="J37" s="1853">
        <v>0</v>
      </c>
      <c r="K37" s="1853">
        <v>0</v>
      </c>
      <c r="L37" s="1853">
        <f>75707-9070</f>
        <v>66637</v>
      </c>
      <c r="M37" s="1835">
        <f>+L37+N37</f>
        <v>151295</v>
      </c>
      <c r="N37" s="1853">
        <v>84658</v>
      </c>
      <c r="O37" s="1853">
        <f>75826+4980-4</f>
        <v>80802</v>
      </c>
      <c r="P37" s="1854">
        <f>75707+4</f>
        <v>75711</v>
      </c>
      <c r="Q37" s="1854">
        <v>75707</v>
      </c>
      <c r="R37" s="1854">
        <v>0</v>
      </c>
      <c r="S37" s="1855">
        <v>0</v>
      </c>
      <c r="T37" s="1855">
        <v>0</v>
      </c>
      <c r="U37" s="1855">
        <v>0</v>
      </c>
      <c r="V37" s="1855">
        <v>0</v>
      </c>
      <c r="W37" s="1855">
        <v>0</v>
      </c>
      <c r="X37" s="1850">
        <f>+T37+S37+R37+Q37+P37</f>
        <v>151418</v>
      </c>
      <c r="Y37" s="4385"/>
    </row>
    <row r="38" spans="1:25" ht="13.5" customHeight="1">
      <c r="A38" s="4104"/>
      <c r="B38" s="1822" t="s">
        <v>34</v>
      </c>
      <c r="C38" s="1856"/>
      <c r="D38" s="1831">
        <f>+D41</f>
        <v>383515</v>
      </c>
      <c r="E38" s="1831">
        <f t="shared" ref="E38:W38" si="33">E39+E41</f>
        <v>0</v>
      </c>
      <c r="F38" s="1831">
        <f t="shared" si="33"/>
        <v>0</v>
      </c>
      <c r="G38" s="1831">
        <f t="shared" si="33"/>
        <v>0</v>
      </c>
      <c r="H38" s="1831">
        <f t="shared" si="33"/>
        <v>0</v>
      </c>
      <c r="I38" s="1831">
        <f t="shared" si="33"/>
        <v>0</v>
      </c>
      <c r="J38" s="1831">
        <f t="shared" si="33"/>
        <v>0</v>
      </c>
      <c r="K38" s="1831">
        <f t="shared" si="33"/>
        <v>0</v>
      </c>
      <c r="L38" s="1831">
        <f t="shared" si="33"/>
        <v>53066</v>
      </c>
      <c r="M38" s="1831">
        <f t="shared" si="33"/>
        <v>128928</v>
      </c>
      <c r="N38" s="1831">
        <f t="shared" si="33"/>
        <v>75862</v>
      </c>
      <c r="O38" s="1831">
        <f t="shared" si="33"/>
        <v>78483</v>
      </c>
      <c r="P38" s="1831">
        <f t="shared" si="33"/>
        <v>77201</v>
      </c>
      <c r="Q38" s="1831">
        <f t="shared" si="33"/>
        <v>75707</v>
      </c>
      <c r="R38" s="1831">
        <f t="shared" si="33"/>
        <v>23196</v>
      </c>
      <c r="S38" s="1832">
        <f t="shared" si="33"/>
        <v>0</v>
      </c>
      <c r="T38" s="1832">
        <f t="shared" si="33"/>
        <v>0</v>
      </c>
      <c r="U38" s="1832">
        <f t="shared" si="33"/>
        <v>0</v>
      </c>
      <c r="V38" s="1832">
        <f t="shared" si="33"/>
        <v>0</v>
      </c>
      <c r="W38" s="1832">
        <f t="shared" si="33"/>
        <v>0</v>
      </c>
      <c r="X38" s="4368" t="s">
        <v>77</v>
      </c>
      <c r="Y38" s="4385"/>
    </row>
    <row r="39" spans="1:25" ht="12" hidden="1" customHeight="1">
      <c r="A39" s="4104"/>
      <c r="B39" s="1857" t="s">
        <v>36</v>
      </c>
      <c r="C39" s="4372" t="s">
        <v>196</v>
      </c>
      <c r="D39" s="1833">
        <f>E39+I39+J39+K39+L39+N39+O39+P39</f>
        <v>0</v>
      </c>
      <c r="E39" s="1833">
        <f t="shared" ref="E39:R39" si="34">E40</f>
        <v>0</v>
      </c>
      <c r="F39" s="1833">
        <f t="shared" si="34"/>
        <v>0</v>
      </c>
      <c r="G39" s="1833">
        <f t="shared" si="34"/>
        <v>0</v>
      </c>
      <c r="H39" s="1833">
        <f t="shared" si="34"/>
        <v>0</v>
      </c>
      <c r="I39" s="1833">
        <f t="shared" si="34"/>
        <v>0</v>
      </c>
      <c r="J39" s="1833">
        <f t="shared" si="34"/>
        <v>0</v>
      </c>
      <c r="K39" s="1833">
        <f t="shared" si="34"/>
        <v>0</v>
      </c>
      <c r="L39" s="1833">
        <f t="shared" si="34"/>
        <v>0</v>
      </c>
      <c r="M39" s="1833"/>
      <c r="N39" s="1833">
        <f t="shared" si="34"/>
        <v>0</v>
      </c>
      <c r="O39" s="1833">
        <f t="shared" si="34"/>
        <v>0</v>
      </c>
      <c r="P39" s="1833">
        <f t="shared" si="34"/>
        <v>0</v>
      </c>
      <c r="Q39" s="1833">
        <f t="shared" si="34"/>
        <v>0</v>
      </c>
      <c r="R39" s="1833">
        <f t="shared" si="34"/>
        <v>0</v>
      </c>
      <c r="S39" s="1834"/>
      <c r="T39" s="1834"/>
      <c r="U39" s="1834"/>
      <c r="V39" s="1834"/>
      <c r="W39" s="1834"/>
      <c r="X39" s="4369"/>
      <c r="Y39" s="4385"/>
    </row>
    <row r="40" spans="1:25" ht="12" hidden="1" customHeight="1">
      <c r="A40" s="4104"/>
      <c r="B40" s="1858" t="s">
        <v>25</v>
      </c>
      <c r="C40" s="4373"/>
      <c r="D40" s="1835">
        <f>E40+I40+J40+K40+L40+N40+O40+P40</f>
        <v>0</v>
      </c>
      <c r="E40" s="1836">
        <f>+F40+G40+H40</f>
        <v>0</v>
      </c>
      <c r="F40" s="1836"/>
      <c r="G40" s="1836"/>
      <c r="H40" s="1836">
        <v>0</v>
      </c>
      <c r="I40" s="1836">
        <v>0</v>
      </c>
      <c r="J40" s="1836">
        <v>0</v>
      </c>
      <c r="K40" s="1836">
        <v>0</v>
      </c>
      <c r="L40" s="1836">
        <v>0</v>
      </c>
      <c r="M40" s="1836"/>
      <c r="N40" s="1836">
        <v>0</v>
      </c>
      <c r="O40" s="1836">
        <v>0</v>
      </c>
      <c r="P40" s="1836">
        <v>0</v>
      </c>
      <c r="Q40" s="1836">
        <v>0</v>
      </c>
      <c r="R40" s="1837">
        <v>0</v>
      </c>
      <c r="S40" s="1838"/>
      <c r="T40" s="1838"/>
      <c r="U40" s="1838"/>
      <c r="V40" s="1838"/>
      <c r="W40" s="1838"/>
      <c r="X40" s="4369"/>
      <c r="Y40" s="4385"/>
    </row>
    <row r="41" spans="1:25" ht="13.5" customHeight="1">
      <c r="A41" s="4104"/>
      <c r="B41" s="1859" t="s">
        <v>30</v>
      </c>
      <c r="C41" s="4373"/>
      <c r="D41" s="1830">
        <f>+D42</f>
        <v>383515</v>
      </c>
      <c r="E41" s="1830">
        <f t="shared" ref="E41:W41" si="35">E42</f>
        <v>0</v>
      </c>
      <c r="F41" s="1830">
        <f t="shared" si="35"/>
        <v>0</v>
      </c>
      <c r="G41" s="1830">
        <f t="shared" si="35"/>
        <v>0</v>
      </c>
      <c r="H41" s="1830">
        <f t="shared" si="35"/>
        <v>0</v>
      </c>
      <c r="I41" s="1830">
        <f t="shared" si="35"/>
        <v>0</v>
      </c>
      <c r="J41" s="1830">
        <f t="shared" si="35"/>
        <v>0</v>
      </c>
      <c r="K41" s="1830">
        <f t="shared" si="35"/>
        <v>0</v>
      </c>
      <c r="L41" s="1830">
        <f t="shared" si="35"/>
        <v>53066</v>
      </c>
      <c r="M41" s="1830">
        <f t="shared" si="35"/>
        <v>128928</v>
      </c>
      <c r="N41" s="1830">
        <f t="shared" si="35"/>
        <v>75862</v>
      </c>
      <c r="O41" s="1830">
        <f t="shared" si="35"/>
        <v>78483</v>
      </c>
      <c r="P41" s="1830">
        <f t="shared" si="35"/>
        <v>77201</v>
      </c>
      <c r="Q41" s="1830">
        <f t="shared" si="35"/>
        <v>75707</v>
      </c>
      <c r="R41" s="1830">
        <f t="shared" si="35"/>
        <v>23196</v>
      </c>
      <c r="S41" s="1839">
        <f t="shared" si="35"/>
        <v>0</v>
      </c>
      <c r="T41" s="1839">
        <f t="shared" si="35"/>
        <v>0</v>
      </c>
      <c r="U41" s="1839">
        <f t="shared" si="35"/>
        <v>0</v>
      </c>
      <c r="V41" s="1839">
        <f t="shared" si="35"/>
        <v>0</v>
      </c>
      <c r="W41" s="1839">
        <f t="shared" si="35"/>
        <v>0</v>
      </c>
      <c r="X41" s="4369"/>
      <c r="Y41" s="4385"/>
    </row>
    <row r="42" spans="1:25" ht="12.75" customHeight="1" thickBot="1">
      <c r="A42" s="4105"/>
      <c r="B42" s="1860" t="s">
        <v>32</v>
      </c>
      <c r="C42" s="4367"/>
      <c r="D42" s="1835">
        <f>M42+O42+P42+Q42+R42+S42+T42+U42+V42+W42</f>
        <v>383515</v>
      </c>
      <c r="E42" s="1829">
        <f>+F42+G42+H42</f>
        <v>0</v>
      </c>
      <c r="F42" s="1829"/>
      <c r="G42" s="1829"/>
      <c r="H42" s="1829">
        <v>0</v>
      </c>
      <c r="I42" s="1829">
        <v>0</v>
      </c>
      <c r="J42" s="1829">
        <v>0</v>
      </c>
      <c r="K42" s="1829">
        <v>0</v>
      </c>
      <c r="L42" s="1829">
        <f>52995+71</f>
        <v>53066</v>
      </c>
      <c r="M42" s="1835">
        <f>+L42+N42</f>
        <v>128928</v>
      </c>
      <c r="N42" s="1829">
        <v>75862</v>
      </c>
      <c r="O42" s="1829">
        <f>74088+3486+909</f>
        <v>78483</v>
      </c>
      <c r="P42" s="1829">
        <f>75707+1494</f>
        <v>77201</v>
      </c>
      <c r="Q42" s="1829">
        <v>75707</v>
      </c>
      <c r="R42" s="1829">
        <f>24105-909</f>
        <v>23196</v>
      </c>
      <c r="S42" s="1840">
        <v>0</v>
      </c>
      <c r="T42" s="1840">
        <v>0</v>
      </c>
      <c r="U42" s="1840">
        <v>0</v>
      </c>
      <c r="V42" s="1840">
        <v>0</v>
      </c>
      <c r="W42" s="1840">
        <v>0</v>
      </c>
      <c r="X42" s="4370"/>
      <c r="Y42" s="4386"/>
    </row>
    <row r="43" spans="1:25" ht="36" customHeight="1">
      <c r="A43" s="4064" t="s">
        <v>80</v>
      </c>
      <c r="B43" s="1828" t="s">
        <v>571</v>
      </c>
      <c r="C43" s="1841" t="s">
        <v>131</v>
      </c>
      <c r="D43" s="1842"/>
      <c r="E43" s="1843"/>
      <c r="F43" s="1791"/>
      <c r="G43" s="1791"/>
      <c r="H43" s="1843"/>
      <c r="I43" s="1843"/>
      <c r="J43" s="1843"/>
      <c r="K43" s="1791"/>
      <c r="L43" s="1791"/>
      <c r="M43" s="1844"/>
      <c r="N43" s="1844"/>
      <c r="O43" s="1844"/>
      <c r="P43" s="1791"/>
      <c r="Q43" s="1844"/>
      <c r="R43" s="1844"/>
      <c r="S43" s="1844"/>
      <c r="T43" s="1844"/>
      <c r="U43" s="1844"/>
      <c r="V43" s="1844"/>
      <c r="W43" s="1844"/>
      <c r="X43" s="1845"/>
      <c r="Y43" s="4154" t="s">
        <v>197</v>
      </c>
    </row>
    <row r="44" spans="1:25" ht="15" customHeight="1">
      <c r="A44" s="4371"/>
      <c r="B44" s="1822" t="s">
        <v>22</v>
      </c>
      <c r="C44" s="1846"/>
      <c r="D44" s="1831">
        <f>D45</f>
        <v>67520</v>
      </c>
      <c r="E44" s="1831">
        <f t="shared" ref="E44:U45" si="36">E45</f>
        <v>0</v>
      </c>
      <c r="F44" s="1831">
        <f t="shared" si="36"/>
        <v>0</v>
      </c>
      <c r="G44" s="1831">
        <f t="shared" si="36"/>
        <v>0</v>
      </c>
      <c r="H44" s="1831">
        <f t="shared" si="36"/>
        <v>0</v>
      </c>
      <c r="I44" s="1831">
        <f t="shared" si="36"/>
        <v>0</v>
      </c>
      <c r="J44" s="1831">
        <f t="shared" si="36"/>
        <v>0</v>
      </c>
      <c r="K44" s="1831">
        <f t="shared" si="36"/>
        <v>0</v>
      </c>
      <c r="L44" s="1831">
        <f t="shared" si="36"/>
        <v>16500</v>
      </c>
      <c r="M44" s="1831">
        <f t="shared" si="36"/>
        <v>36827</v>
      </c>
      <c r="N44" s="1831">
        <f t="shared" si="36"/>
        <v>20327</v>
      </c>
      <c r="O44" s="1831">
        <f t="shared" si="36"/>
        <v>30693</v>
      </c>
      <c r="P44" s="1831">
        <f t="shared" si="36"/>
        <v>0</v>
      </c>
      <c r="Q44" s="1831">
        <f t="shared" si="36"/>
        <v>0</v>
      </c>
      <c r="R44" s="1831">
        <f>+R45+R47</f>
        <v>0</v>
      </c>
      <c r="S44" s="1831">
        <f t="shared" ref="S44:W44" si="37">+S45+S47</f>
        <v>0</v>
      </c>
      <c r="T44" s="1831">
        <f t="shared" si="37"/>
        <v>0</v>
      </c>
      <c r="U44" s="1831">
        <f t="shared" si="37"/>
        <v>0</v>
      </c>
      <c r="V44" s="1831">
        <f t="shared" si="37"/>
        <v>0</v>
      </c>
      <c r="W44" s="1831">
        <f t="shared" si="37"/>
        <v>0</v>
      </c>
      <c r="X44" s="1847">
        <f>X45</f>
        <v>0</v>
      </c>
      <c r="Y44" s="4155"/>
    </row>
    <row r="45" spans="1:25" ht="12">
      <c r="A45" s="4371"/>
      <c r="B45" s="2748" t="s">
        <v>30</v>
      </c>
      <c r="C45" s="4365" t="s">
        <v>198</v>
      </c>
      <c r="D45" s="1830">
        <f>+D46</f>
        <v>67520</v>
      </c>
      <c r="E45" s="1830">
        <f>+F45+G45+H45</f>
        <v>0</v>
      </c>
      <c r="F45" s="1830">
        <f t="shared" si="36"/>
        <v>0</v>
      </c>
      <c r="G45" s="1830">
        <f t="shared" si="36"/>
        <v>0</v>
      </c>
      <c r="H45" s="1830">
        <f t="shared" si="36"/>
        <v>0</v>
      </c>
      <c r="I45" s="1830">
        <f t="shared" si="36"/>
        <v>0</v>
      </c>
      <c r="J45" s="1830">
        <f t="shared" si="36"/>
        <v>0</v>
      </c>
      <c r="K45" s="1830">
        <f t="shared" si="36"/>
        <v>0</v>
      </c>
      <c r="L45" s="1830">
        <f t="shared" si="36"/>
        <v>16500</v>
      </c>
      <c r="M45" s="1830">
        <f t="shared" si="36"/>
        <v>36827</v>
      </c>
      <c r="N45" s="1830">
        <f t="shared" si="36"/>
        <v>20327</v>
      </c>
      <c r="O45" s="1830">
        <f t="shared" si="36"/>
        <v>30693</v>
      </c>
      <c r="P45" s="1830">
        <f t="shared" si="36"/>
        <v>0</v>
      </c>
      <c r="Q45" s="1830">
        <f t="shared" si="36"/>
        <v>0</v>
      </c>
      <c r="R45" s="1830">
        <f t="shared" si="36"/>
        <v>0</v>
      </c>
      <c r="S45" s="1830">
        <f t="shared" si="36"/>
        <v>0</v>
      </c>
      <c r="T45" s="1830">
        <f t="shared" si="36"/>
        <v>0</v>
      </c>
      <c r="U45" s="1830">
        <f t="shared" si="36"/>
        <v>0</v>
      </c>
      <c r="V45" s="1830">
        <f t="shared" ref="V45:W45" si="38">V46</f>
        <v>0</v>
      </c>
      <c r="W45" s="1830">
        <f t="shared" si="38"/>
        <v>0</v>
      </c>
      <c r="X45" s="1848">
        <f>+X46</f>
        <v>0</v>
      </c>
      <c r="Y45" s="4155"/>
    </row>
    <row r="46" spans="1:25" ht="12">
      <c r="A46" s="4371"/>
      <c r="B46" s="2749" t="s">
        <v>32</v>
      </c>
      <c r="C46" s="4366"/>
      <c r="D46" s="1835">
        <f>M46+O46+P46+Q46+R46+S46+T46+U46+V46+W46</f>
        <v>67520</v>
      </c>
      <c r="E46" s="1853">
        <f>+F46+G46+H46</f>
        <v>0</v>
      </c>
      <c r="F46" s="1853"/>
      <c r="G46" s="1853"/>
      <c r="H46" s="1853">
        <v>0</v>
      </c>
      <c r="I46" s="1853">
        <v>0</v>
      </c>
      <c r="J46" s="1853">
        <v>0</v>
      </c>
      <c r="K46" s="1853">
        <v>0</v>
      </c>
      <c r="L46" s="1853">
        <v>16500</v>
      </c>
      <c r="M46" s="1835">
        <f>+L46+N46</f>
        <v>36827</v>
      </c>
      <c r="N46" s="1853">
        <f>32000-11673</f>
        <v>20327</v>
      </c>
      <c r="O46" s="1853">
        <f>19020+11673</f>
        <v>30693</v>
      </c>
      <c r="P46" s="1854">
        <v>0</v>
      </c>
      <c r="Q46" s="1854">
        <v>0</v>
      </c>
      <c r="R46" s="1854">
        <v>0</v>
      </c>
      <c r="S46" s="1854">
        <v>0</v>
      </c>
      <c r="T46" s="1854">
        <v>0</v>
      </c>
      <c r="U46" s="1854">
        <v>0</v>
      </c>
      <c r="V46" s="1854">
        <v>0</v>
      </c>
      <c r="W46" s="1854">
        <v>0</v>
      </c>
      <c r="X46" s="1850">
        <f>+T46+S46+R46+Q46+P46</f>
        <v>0</v>
      </c>
      <c r="Y46" s="4155"/>
    </row>
    <row r="47" spans="1:25" ht="15" customHeight="1">
      <c r="A47" s="4371"/>
      <c r="B47" s="2736" t="s">
        <v>34</v>
      </c>
      <c r="C47" s="2253"/>
      <c r="D47" s="1831">
        <f>+D48</f>
        <v>67555</v>
      </c>
      <c r="E47" s="1831">
        <f t="shared" ref="E47:T47" si="39">E48+E65</f>
        <v>0</v>
      </c>
      <c r="F47" s="1831">
        <f t="shared" si="39"/>
        <v>0</v>
      </c>
      <c r="G47" s="1831">
        <f t="shared" si="39"/>
        <v>0</v>
      </c>
      <c r="H47" s="1831">
        <f t="shared" si="39"/>
        <v>0</v>
      </c>
      <c r="I47" s="1831">
        <f t="shared" si="39"/>
        <v>0</v>
      </c>
      <c r="J47" s="1831">
        <f t="shared" si="39"/>
        <v>0</v>
      </c>
      <c r="K47" s="1831">
        <f t="shared" si="39"/>
        <v>0</v>
      </c>
      <c r="L47" s="1831">
        <f t="shared" si="39"/>
        <v>54083</v>
      </c>
      <c r="M47" s="1831">
        <f t="shared" si="39"/>
        <v>54083</v>
      </c>
      <c r="N47" s="1831">
        <f t="shared" si="39"/>
        <v>0</v>
      </c>
      <c r="O47" s="1831">
        <f t="shared" si="39"/>
        <v>13472</v>
      </c>
      <c r="P47" s="1831">
        <f t="shared" si="39"/>
        <v>0</v>
      </c>
      <c r="Q47" s="1831">
        <f t="shared" si="39"/>
        <v>0</v>
      </c>
      <c r="R47" s="1831">
        <f t="shared" si="39"/>
        <v>0</v>
      </c>
      <c r="S47" s="1831">
        <f t="shared" si="39"/>
        <v>0</v>
      </c>
      <c r="T47" s="1831">
        <f t="shared" si="39"/>
        <v>0</v>
      </c>
      <c r="U47" s="1831">
        <f t="shared" ref="U47:W47" si="40">U48+U65</f>
        <v>0</v>
      </c>
      <c r="V47" s="1831">
        <f t="shared" si="40"/>
        <v>0</v>
      </c>
      <c r="W47" s="1831">
        <f t="shared" si="40"/>
        <v>0</v>
      </c>
      <c r="X47" s="4368" t="s">
        <v>77</v>
      </c>
      <c r="Y47" s="4155"/>
    </row>
    <row r="48" spans="1:25" ht="12">
      <c r="A48" s="4371"/>
      <c r="B48" s="2748" t="s">
        <v>30</v>
      </c>
      <c r="C48" s="4365" t="s">
        <v>198</v>
      </c>
      <c r="D48" s="1830">
        <f>+D49</f>
        <v>67555</v>
      </c>
      <c r="E48" s="1830">
        <f t="shared" ref="E48:W48" si="41">E49</f>
        <v>0</v>
      </c>
      <c r="F48" s="1830">
        <f t="shared" si="41"/>
        <v>0</v>
      </c>
      <c r="G48" s="1830">
        <f t="shared" si="41"/>
        <v>0</v>
      </c>
      <c r="H48" s="1830">
        <f t="shared" si="41"/>
        <v>0</v>
      </c>
      <c r="I48" s="1830">
        <f t="shared" si="41"/>
        <v>0</v>
      </c>
      <c r="J48" s="1830">
        <f t="shared" si="41"/>
        <v>0</v>
      </c>
      <c r="K48" s="1830">
        <f t="shared" si="41"/>
        <v>0</v>
      </c>
      <c r="L48" s="1830">
        <f t="shared" si="41"/>
        <v>54083</v>
      </c>
      <c r="M48" s="1830">
        <f t="shared" si="41"/>
        <v>54083</v>
      </c>
      <c r="N48" s="1830">
        <f t="shared" si="41"/>
        <v>0</v>
      </c>
      <c r="O48" s="1830">
        <f t="shared" si="41"/>
        <v>13472</v>
      </c>
      <c r="P48" s="1830">
        <f t="shared" si="41"/>
        <v>0</v>
      </c>
      <c r="Q48" s="1830">
        <f t="shared" si="41"/>
        <v>0</v>
      </c>
      <c r="R48" s="1830">
        <f t="shared" si="41"/>
        <v>0</v>
      </c>
      <c r="S48" s="1830">
        <f t="shared" si="41"/>
        <v>0</v>
      </c>
      <c r="T48" s="1830">
        <f t="shared" si="41"/>
        <v>0</v>
      </c>
      <c r="U48" s="1830">
        <f t="shared" si="41"/>
        <v>0</v>
      </c>
      <c r="V48" s="1830">
        <f t="shared" si="41"/>
        <v>0</v>
      </c>
      <c r="W48" s="1830">
        <f t="shared" si="41"/>
        <v>0</v>
      </c>
      <c r="X48" s="4369"/>
      <c r="Y48" s="4155"/>
    </row>
    <row r="49" spans="1:25" ht="12.75" thickBot="1">
      <c r="A49" s="4105"/>
      <c r="B49" s="2750" t="s">
        <v>32</v>
      </c>
      <c r="C49" s="4367"/>
      <c r="D49" s="1835">
        <f>M49+O49+P49+Q49+R49+S49+T49+U49+V49+W49</f>
        <v>67555</v>
      </c>
      <c r="E49" s="1829">
        <f>+F49+G49+H49</f>
        <v>0</v>
      </c>
      <c r="F49" s="1829"/>
      <c r="G49" s="1829"/>
      <c r="H49" s="1829">
        <v>0</v>
      </c>
      <c r="I49" s="1829">
        <v>0</v>
      </c>
      <c r="J49" s="1829">
        <v>0</v>
      </c>
      <c r="K49" s="1829">
        <v>0</v>
      </c>
      <c r="L49" s="1829">
        <v>54083</v>
      </c>
      <c r="M49" s="1835">
        <f>+L49+N49</f>
        <v>54083</v>
      </c>
      <c r="N49" s="1829"/>
      <c r="O49" s="1829">
        <f>13437+35</f>
        <v>13472</v>
      </c>
      <c r="P49" s="1829">
        <v>0</v>
      </c>
      <c r="Q49" s="1829">
        <v>0</v>
      </c>
      <c r="R49" s="1829">
        <v>0</v>
      </c>
      <c r="S49" s="1829">
        <v>0</v>
      </c>
      <c r="T49" s="1829">
        <v>0</v>
      </c>
      <c r="U49" s="1829">
        <v>0</v>
      </c>
      <c r="V49" s="1829">
        <v>0</v>
      </c>
      <c r="W49" s="1829">
        <v>0</v>
      </c>
      <c r="X49" s="4370"/>
      <c r="Y49" s="4156"/>
    </row>
    <row r="50" spans="1:25" ht="35.25" customHeight="1">
      <c r="A50" s="4349" t="s">
        <v>81</v>
      </c>
      <c r="B50" s="771" t="s">
        <v>437</v>
      </c>
      <c r="C50" s="772" t="s">
        <v>131</v>
      </c>
      <c r="D50" s="773"/>
      <c r="E50" s="774"/>
      <c r="F50" s="775"/>
      <c r="G50" s="775"/>
      <c r="H50" s="774"/>
      <c r="I50" s="774"/>
      <c r="J50" s="774"/>
      <c r="K50" s="775"/>
      <c r="L50" s="775"/>
      <c r="M50" s="776"/>
      <c r="N50" s="776"/>
      <c r="O50" s="776"/>
      <c r="P50" s="775"/>
      <c r="Q50" s="776"/>
      <c r="R50" s="776"/>
      <c r="S50" s="776"/>
      <c r="T50" s="776"/>
      <c r="U50" s="776"/>
      <c r="V50" s="776"/>
      <c r="W50" s="776"/>
      <c r="X50" s="1574"/>
      <c r="Y50" s="4151" t="s">
        <v>197</v>
      </c>
    </row>
    <row r="51" spans="1:25" ht="15" customHeight="1">
      <c r="A51" s="4350"/>
      <c r="B51" s="381" t="s">
        <v>22</v>
      </c>
      <c r="C51" s="798"/>
      <c r="D51" s="777">
        <f>D52</f>
        <v>28500</v>
      </c>
      <c r="E51" s="777">
        <f t="shared" ref="E51:U52" si="42">E52</f>
        <v>0</v>
      </c>
      <c r="F51" s="777">
        <f t="shared" si="42"/>
        <v>0</v>
      </c>
      <c r="G51" s="777">
        <f t="shared" si="42"/>
        <v>0</v>
      </c>
      <c r="H51" s="777">
        <f t="shared" si="42"/>
        <v>0</v>
      </c>
      <c r="I51" s="777">
        <f t="shared" si="42"/>
        <v>0</v>
      </c>
      <c r="J51" s="777">
        <f t="shared" si="42"/>
        <v>0</v>
      </c>
      <c r="K51" s="777">
        <f t="shared" si="42"/>
        <v>0</v>
      </c>
      <c r="L51" s="777">
        <f t="shared" si="42"/>
        <v>0</v>
      </c>
      <c r="M51" s="777">
        <f t="shared" si="42"/>
        <v>0</v>
      </c>
      <c r="N51" s="777">
        <f t="shared" si="42"/>
        <v>0</v>
      </c>
      <c r="O51" s="777">
        <f t="shared" si="42"/>
        <v>5000</v>
      </c>
      <c r="P51" s="777">
        <f t="shared" si="42"/>
        <v>19500</v>
      </c>
      <c r="Q51" s="777">
        <f t="shared" si="42"/>
        <v>4000</v>
      </c>
      <c r="R51" s="777">
        <f>+R52+R54</f>
        <v>0</v>
      </c>
      <c r="S51" s="777">
        <f t="shared" ref="S51:W51" si="43">+S52+S54</f>
        <v>0</v>
      </c>
      <c r="T51" s="777">
        <f t="shared" si="43"/>
        <v>0</v>
      </c>
      <c r="U51" s="777">
        <f t="shared" si="43"/>
        <v>0</v>
      </c>
      <c r="V51" s="777">
        <f t="shared" si="43"/>
        <v>0</v>
      </c>
      <c r="W51" s="777">
        <f t="shared" si="43"/>
        <v>0</v>
      </c>
      <c r="X51" s="778">
        <f>X52</f>
        <v>23500</v>
      </c>
      <c r="Y51" s="4124"/>
    </row>
    <row r="52" spans="1:25" ht="12">
      <c r="A52" s="4350"/>
      <c r="B52" s="1063" t="s">
        <v>30</v>
      </c>
      <c r="C52" s="4351" t="s">
        <v>198</v>
      </c>
      <c r="D52" s="785">
        <f>+D53</f>
        <v>28500</v>
      </c>
      <c r="E52" s="785">
        <f>+F52+G52+H52</f>
        <v>0</v>
      </c>
      <c r="F52" s="785">
        <f t="shared" si="42"/>
        <v>0</v>
      </c>
      <c r="G52" s="785">
        <f t="shared" si="42"/>
        <v>0</v>
      </c>
      <c r="H52" s="785">
        <f t="shared" si="42"/>
        <v>0</v>
      </c>
      <c r="I52" s="785">
        <f t="shared" si="42"/>
        <v>0</v>
      </c>
      <c r="J52" s="785">
        <f t="shared" si="42"/>
        <v>0</v>
      </c>
      <c r="K52" s="785">
        <f t="shared" si="42"/>
        <v>0</v>
      </c>
      <c r="L52" s="785">
        <f t="shared" si="42"/>
        <v>0</v>
      </c>
      <c r="M52" s="785">
        <f t="shared" si="42"/>
        <v>0</v>
      </c>
      <c r="N52" s="785">
        <f t="shared" si="42"/>
        <v>0</v>
      </c>
      <c r="O52" s="785">
        <f t="shared" si="42"/>
        <v>5000</v>
      </c>
      <c r="P52" s="785">
        <f t="shared" si="42"/>
        <v>19500</v>
      </c>
      <c r="Q52" s="785">
        <f t="shared" si="42"/>
        <v>4000</v>
      </c>
      <c r="R52" s="785">
        <f t="shared" si="42"/>
        <v>0</v>
      </c>
      <c r="S52" s="785">
        <f t="shared" si="42"/>
        <v>0</v>
      </c>
      <c r="T52" s="785">
        <f t="shared" si="42"/>
        <v>0</v>
      </c>
      <c r="U52" s="785">
        <f t="shared" si="42"/>
        <v>0</v>
      </c>
      <c r="V52" s="785">
        <f t="shared" ref="V52:W52" si="44">V53</f>
        <v>0</v>
      </c>
      <c r="W52" s="785">
        <f t="shared" si="44"/>
        <v>0</v>
      </c>
      <c r="X52" s="781">
        <f>+X53</f>
        <v>23500</v>
      </c>
      <c r="Y52" s="4124"/>
    </row>
    <row r="53" spans="1:25" ht="12">
      <c r="A53" s="4350"/>
      <c r="B53" s="1064" t="s">
        <v>32</v>
      </c>
      <c r="C53" s="4352"/>
      <c r="D53" s="783">
        <f>M53+O53+P53+Q53+R53+S53+T53+U53+V53+W53</f>
        <v>28500</v>
      </c>
      <c r="E53" s="788">
        <f>+F53+G53+H53</f>
        <v>0</v>
      </c>
      <c r="F53" s="788"/>
      <c r="G53" s="788"/>
      <c r="H53" s="788">
        <v>0</v>
      </c>
      <c r="I53" s="788">
        <v>0</v>
      </c>
      <c r="J53" s="788">
        <v>0</v>
      </c>
      <c r="K53" s="788">
        <v>0</v>
      </c>
      <c r="L53" s="788">
        <v>0</v>
      </c>
      <c r="M53" s="783">
        <f>+L53+N53</f>
        <v>0</v>
      </c>
      <c r="N53" s="788">
        <v>0</v>
      </c>
      <c r="O53" s="788">
        <v>5000</v>
      </c>
      <c r="P53" s="650">
        <v>19500</v>
      </c>
      <c r="Q53" s="650">
        <v>4000</v>
      </c>
      <c r="R53" s="650">
        <v>0</v>
      </c>
      <c r="S53" s="650">
        <v>0</v>
      </c>
      <c r="T53" s="650">
        <v>0</v>
      </c>
      <c r="U53" s="650">
        <v>0</v>
      </c>
      <c r="V53" s="650">
        <v>0</v>
      </c>
      <c r="W53" s="650">
        <v>0</v>
      </c>
      <c r="X53" s="1575">
        <f>+T53+S53+R53+Q53+P53</f>
        <v>23500</v>
      </c>
      <c r="Y53" s="4124"/>
    </row>
    <row r="54" spans="1:25" ht="15" customHeight="1">
      <c r="A54" s="4350"/>
      <c r="B54" s="657" t="s">
        <v>34</v>
      </c>
      <c r="C54" s="799"/>
      <c r="D54" s="777">
        <f>+D55</f>
        <v>28500</v>
      </c>
      <c r="E54" s="777">
        <f t="shared" ref="E54:L54" si="45">+E55</f>
        <v>0</v>
      </c>
      <c r="F54" s="777">
        <f t="shared" si="45"/>
        <v>0</v>
      </c>
      <c r="G54" s="777">
        <f t="shared" si="45"/>
        <v>0</v>
      </c>
      <c r="H54" s="777">
        <f t="shared" si="45"/>
        <v>0</v>
      </c>
      <c r="I54" s="777">
        <f t="shared" si="45"/>
        <v>0</v>
      </c>
      <c r="J54" s="777">
        <f t="shared" si="45"/>
        <v>0</v>
      </c>
      <c r="K54" s="777">
        <f t="shared" si="45"/>
        <v>0</v>
      </c>
      <c r="L54" s="777">
        <f t="shared" si="45"/>
        <v>0</v>
      </c>
      <c r="M54" s="777">
        <f>M55</f>
        <v>0</v>
      </c>
      <c r="N54" s="777">
        <f t="shared" ref="N54:T54" si="46">N55</f>
        <v>0</v>
      </c>
      <c r="O54" s="777">
        <f t="shared" si="46"/>
        <v>5000</v>
      </c>
      <c r="P54" s="777">
        <f t="shared" si="46"/>
        <v>19500</v>
      </c>
      <c r="Q54" s="777">
        <f t="shared" si="46"/>
        <v>4000</v>
      </c>
      <c r="R54" s="777">
        <f t="shared" si="46"/>
        <v>0</v>
      </c>
      <c r="S54" s="777">
        <f t="shared" si="46"/>
        <v>0</v>
      </c>
      <c r="T54" s="777">
        <f t="shared" si="46"/>
        <v>0</v>
      </c>
      <c r="U54" s="777"/>
      <c r="V54" s="777"/>
      <c r="W54" s="777"/>
      <c r="X54" s="4378" t="s">
        <v>77</v>
      </c>
      <c r="Y54" s="4124"/>
    </row>
    <row r="55" spans="1:25" ht="12">
      <c r="A55" s="4350"/>
      <c r="B55" s="1063" t="s">
        <v>30</v>
      </c>
      <c r="C55" s="4351" t="s">
        <v>198</v>
      </c>
      <c r="D55" s="785">
        <f>+D56</f>
        <v>28500</v>
      </c>
      <c r="E55" s="785">
        <f t="shared" ref="E55:W55" si="47">E56</f>
        <v>0</v>
      </c>
      <c r="F55" s="785">
        <f t="shared" si="47"/>
        <v>0</v>
      </c>
      <c r="G55" s="785">
        <f t="shared" si="47"/>
        <v>0</v>
      </c>
      <c r="H55" s="785">
        <f t="shared" si="47"/>
        <v>0</v>
      </c>
      <c r="I55" s="785">
        <f t="shared" si="47"/>
        <v>0</v>
      </c>
      <c r="J55" s="785">
        <f t="shared" si="47"/>
        <v>0</v>
      </c>
      <c r="K55" s="785">
        <f t="shared" si="47"/>
        <v>0</v>
      </c>
      <c r="L55" s="785">
        <f t="shared" si="47"/>
        <v>0</v>
      </c>
      <c r="M55" s="785">
        <f t="shared" si="47"/>
        <v>0</v>
      </c>
      <c r="N55" s="785">
        <f t="shared" si="47"/>
        <v>0</v>
      </c>
      <c r="O55" s="785">
        <f t="shared" si="47"/>
        <v>5000</v>
      </c>
      <c r="P55" s="785">
        <f t="shared" si="47"/>
        <v>19500</v>
      </c>
      <c r="Q55" s="785">
        <f t="shared" si="47"/>
        <v>4000</v>
      </c>
      <c r="R55" s="785">
        <f t="shared" si="47"/>
        <v>0</v>
      </c>
      <c r="S55" s="785">
        <f t="shared" si="47"/>
        <v>0</v>
      </c>
      <c r="T55" s="785">
        <f t="shared" si="47"/>
        <v>0</v>
      </c>
      <c r="U55" s="785">
        <f t="shared" si="47"/>
        <v>0</v>
      </c>
      <c r="V55" s="785">
        <f t="shared" si="47"/>
        <v>0</v>
      </c>
      <c r="W55" s="785">
        <f t="shared" si="47"/>
        <v>0</v>
      </c>
      <c r="X55" s="4379"/>
      <c r="Y55" s="4124"/>
    </row>
    <row r="56" spans="1:25" ht="12.75" thickBot="1">
      <c r="A56" s="4118"/>
      <c r="B56" s="1065" t="s">
        <v>32</v>
      </c>
      <c r="C56" s="4353"/>
      <c r="D56" s="800">
        <f>M56+O56+P56+Q56+R56+S56+T56+U56+V56+W56</f>
        <v>28500</v>
      </c>
      <c r="E56" s="797">
        <f>+F56+G56+H56</f>
        <v>0</v>
      </c>
      <c r="F56" s="797"/>
      <c r="G56" s="797"/>
      <c r="H56" s="797">
        <v>0</v>
      </c>
      <c r="I56" s="797">
        <v>0</v>
      </c>
      <c r="J56" s="797">
        <v>0</v>
      </c>
      <c r="K56" s="797">
        <v>0</v>
      </c>
      <c r="L56" s="797"/>
      <c r="M56" s="800">
        <f>+L56+N56</f>
        <v>0</v>
      </c>
      <c r="N56" s="797">
        <v>0</v>
      </c>
      <c r="O56" s="797">
        <v>5000</v>
      </c>
      <c r="P56" s="797">
        <v>19500</v>
      </c>
      <c r="Q56" s="797">
        <v>4000</v>
      </c>
      <c r="R56" s="797">
        <v>0</v>
      </c>
      <c r="S56" s="797">
        <v>0</v>
      </c>
      <c r="T56" s="797">
        <v>0</v>
      </c>
      <c r="U56" s="797">
        <v>0</v>
      </c>
      <c r="V56" s="797">
        <v>0</v>
      </c>
      <c r="W56" s="797">
        <v>0</v>
      </c>
      <c r="X56" s="4380"/>
      <c r="Y56" s="4125"/>
    </row>
    <row r="57" spans="1:25" ht="26.25" customHeight="1">
      <c r="A57" s="4064" t="s">
        <v>82</v>
      </c>
      <c r="B57" s="1828" t="s">
        <v>572</v>
      </c>
      <c r="C57" s="1841" t="s">
        <v>131</v>
      </c>
      <c r="D57" s="1842"/>
      <c r="E57" s="1843"/>
      <c r="F57" s="1791"/>
      <c r="G57" s="1791"/>
      <c r="H57" s="1843"/>
      <c r="I57" s="1843"/>
      <c r="J57" s="1843"/>
      <c r="K57" s="1791"/>
      <c r="L57" s="1791"/>
      <c r="M57" s="1844"/>
      <c r="N57" s="1844"/>
      <c r="O57" s="1844"/>
      <c r="P57" s="1791"/>
      <c r="Q57" s="1844"/>
      <c r="R57" s="1844"/>
      <c r="S57" s="1844"/>
      <c r="T57" s="1844"/>
      <c r="U57" s="1844"/>
      <c r="V57" s="1844"/>
      <c r="W57" s="1844"/>
      <c r="X57" s="1845"/>
      <c r="Y57" s="4154" t="s">
        <v>515</v>
      </c>
    </row>
    <row r="58" spans="1:25" ht="15" customHeight="1">
      <c r="A58" s="4371"/>
      <c r="B58" s="1822" t="s">
        <v>22</v>
      </c>
      <c r="C58" s="1846"/>
      <c r="D58" s="1831">
        <f>D59</f>
        <v>267988</v>
      </c>
      <c r="E58" s="1831">
        <f t="shared" ref="E58:U59" si="48">E59</f>
        <v>0</v>
      </c>
      <c r="F58" s="1831">
        <f t="shared" si="48"/>
        <v>0</v>
      </c>
      <c r="G58" s="1831">
        <f t="shared" si="48"/>
        <v>0</v>
      </c>
      <c r="H58" s="1831">
        <f t="shared" si="48"/>
        <v>0</v>
      </c>
      <c r="I58" s="1831">
        <f t="shared" si="48"/>
        <v>0</v>
      </c>
      <c r="J58" s="1831">
        <f t="shared" si="48"/>
        <v>0</v>
      </c>
      <c r="K58" s="1831">
        <f t="shared" si="48"/>
        <v>0</v>
      </c>
      <c r="L58" s="1831">
        <f t="shared" si="48"/>
        <v>0</v>
      </c>
      <c r="M58" s="1831">
        <f t="shared" si="48"/>
        <v>0</v>
      </c>
      <c r="N58" s="1831">
        <f t="shared" si="48"/>
        <v>0</v>
      </c>
      <c r="O58" s="1831">
        <f t="shared" si="48"/>
        <v>213855</v>
      </c>
      <c r="P58" s="1831">
        <f t="shared" si="48"/>
        <v>54133</v>
      </c>
      <c r="Q58" s="1831">
        <f t="shared" si="48"/>
        <v>0</v>
      </c>
      <c r="R58" s="1831">
        <f>+R59+R61</f>
        <v>0</v>
      </c>
      <c r="S58" s="1831">
        <f t="shared" ref="S58:W58" si="49">+S59+S61</f>
        <v>0</v>
      </c>
      <c r="T58" s="1831">
        <f t="shared" si="49"/>
        <v>0</v>
      </c>
      <c r="U58" s="1831">
        <f t="shared" si="49"/>
        <v>0</v>
      </c>
      <c r="V58" s="1831">
        <f t="shared" si="49"/>
        <v>0</v>
      </c>
      <c r="W58" s="1831">
        <f t="shared" si="49"/>
        <v>0</v>
      </c>
      <c r="X58" s="1847">
        <f>X59</f>
        <v>54133</v>
      </c>
      <c r="Y58" s="4155"/>
    </row>
    <row r="59" spans="1:25" ht="12">
      <c r="A59" s="4371"/>
      <c r="B59" s="2748" t="s">
        <v>30</v>
      </c>
      <c r="C59" s="4365" t="s">
        <v>516</v>
      </c>
      <c r="D59" s="1830">
        <f>+D60</f>
        <v>267988</v>
      </c>
      <c r="E59" s="1830">
        <f>+F59+G59+H59</f>
        <v>0</v>
      </c>
      <c r="F59" s="1830">
        <f t="shared" si="48"/>
        <v>0</v>
      </c>
      <c r="G59" s="1830">
        <f t="shared" si="48"/>
        <v>0</v>
      </c>
      <c r="H59" s="1830">
        <f t="shared" si="48"/>
        <v>0</v>
      </c>
      <c r="I59" s="1830">
        <f t="shared" si="48"/>
        <v>0</v>
      </c>
      <c r="J59" s="1830">
        <f t="shared" si="48"/>
        <v>0</v>
      </c>
      <c r="K59" s="1830">
        <f t="shared" si="48"/>
        <v>0</v>
      </c>
      <c r="L59" s="1830">
        <f t="shared" si="48"/>
        <v>0</v>
      </c>
      <c r="M59" s="1830">
        <f t="shared" si="48"/>
        <v>0</v>
      </c>
      <c r="N59" s="1830">
        <f t="shared" si="48"/>
        <v>0</v>
      </c>
      <c r="O59" s="1830">
        <f t="shared" si="48"/>
        <v>213855</v>
      </c>
      <c r="P59" s="1830">
        <f t="shared" si="48"/>
        <v>54133</v>
      </c>
      <c r="Q59" s="1830">
        <f t="shared" si="48"/>
        <v>0</v>
      </c>
      <c r="R59" s="1830">
        <f t="shared" si="48"/>
        <v>0</v>
      </c>
      <c r="S59" s="1830">
        <f t="shared" si="48"/>
        <v>0</v>
      </c>
      <c r="T59" s="1830">
        <f t="shared" si="48"/>
        <v>0</v>
      </c>
      <c r="U59" s="1830">
        <f t="shared" si="48"/>
        <v>0</v>
      </c>
      <c r="V59" s="1830">
        <f t="shared" ref="V59:W59" si="50">V60</f>
        <v>0</v>
      </c>
      <c r="W59" s="1830">
        <f t="shared" si="50"/>
        <v>0</v>
      </c>
      <c r="X59" s="1848">
        <f>+X60</f>
        <v>54133</v>
      </c>
      <c r="Y59" s="4155"/>
    </row>
    <row r="60" spans="1:25" ht="12">
      <c r="A60" s="4371"/>
      <c r="B60" s="2749" t="s">
        <v>32</v>
      </c>
      <c r="C60" s="4366"/>
      <c r="D60" s="1836">
        <f>M60+O60+P60+Q60+R60+S60+T60+U60+V60+W60</f>
        <v>267988</v>
      </c>
      <c r="E60" s="1853">
        <f>+F60+G60+H60</f>
        <v>0</v>
      </c>
      <c r="F60" s="1853"/>
      <c r="G60" s="1853"/>
      <c r="H60" s="1853">
        <v>0</v>
      </c>
      <c r="I60" s="1853">
        <v>0</v>
      </c>
      <c r="J60" s="1853">
        <v>0</v>
      </c>
      <c r="K60" s="1853">
        <v>0</v>
      </c>
      <c r="L60" s="1853"/>
      <c r="M60" s="1853">
        <v>0</v>
      </c>
      <c r="N60" s="1853">
        <v>0</v>
      </c>
      <c r="O60" s="1853">
        <f>213857-2</f>
        <v>213855</v>
      </c>
      <c r="P60" s="1854">
        <f>54133</f>
        <v>54133</v>
      </c>
      <c r="Q60" s="1854">
        <v>0</v>
      </c>
      <c r="R60" s="1854">
        <v>0</v>
      </c>
      <c r="S60" s="1854">
        <v>0</v>
      </c>
      <c r="T60" s="1854">
        <v>0</v>
      </c>
      <c r="U60" s="1854">
        <v>0</v>
      </c>
      <c r="V60" s="1854">
        <v>0</v>
      </c>
      <c r="W60" s="1854">
        <v>0</v>
      </c>
      <c r="X60" s="1850">
        <f>+T60+S60+R60+Q60+P60</f>
        <v>54133</v>
      </c>
      <c r="Y60" s="4155"/>
    </row>
    <row r="61" spans="1:25" ht="15" customHeight="1">
      <c r="A61" s="4371"/>
      <c r="B61" s="2736" t="s">
        <v>34</v>
      </c>
      <c r="C61" s="2253"/>
      <c r="D61" s="2254">
        <f>+D62</f>
        <v>267990</v>
      </c>
      <c r="E61" s="1831">
        <f t="shared" ref="E61:W61" si="51">E62+E79</f>
        <v>0</v>
      </c>
      <c r="F61" s="1831">
        <f t="shared" si="51"/>
        <v>0</v>
      </c>
      <c r="G61" s="1831">
        <f t="shared" si="51"/>
        <v>0</v>
      </c>
      <c r="H61" s="1831">
        <f t="shared" si="51"/>
        <v>0</v>
      </c>
      <c r="I61" s="1831">
        <f t="shared" si="51"/>
        <v>0</v>
      </c>
      <c r="J61" s="1831">
        <f t="shared" si="51"/>
        <v>0</v>
      </c>
      <c r="K61" s="1831">
        <f t="shared" si="51"/>
        <v>0</v>
      </c>
      <c r="L61" s="1831">
        <f t="shared" si="51"/>
        <v>0</v>
      </c>
      <c r="M61" s="1831">
        <f t="shared" si="51"/>
        <v>160044</v>
      </c>
      <c r="N61" s="1831">
        <f t="shared" si="51"/>
        <v>160044</v>
      </c>
      <c r="O61" s="1831">
        <f t="shared" si="51"/>
        <v>54097</v>
      </c>
      <c r="P61" s="1831">
        <f t="shared" si="51"/>
        <v>53849</v>
      </c>
      <c r="Q61" s="1831">
        <f t="shared" si="51"/>
        <v>0</v>
      </c>
      <c r="R61" s="1831">
        <f t="shared" si="51"/>
        <v>0</v>
      </c>
      <c r="S61" s="1831">
        <f t="shared" si="51"/>
        <v>0</v>
      </c>
      <c r="T61" s="1831">
        <f t="shared" si="51"/>
        <v>0</v>
      </c>
      <c r="U61" s="1831">
        <f t="shared" si="51"/>
        <v>0</v>
      </c>
      <c r="V61" s="1831">
        <f t="shared" si="51"/>
        <v>0</v>
      </c>
      <c r="W61" s="1831">
        <f t="shared" si="51"/>
        <v>0</v>
      </c>
      <c r="X61" s="4368" t="s">
        <v>77</v>
      </c>
      <c r="Y61" s="4155"/>
    </row>
    <row r="62" spans="1:25" ht="12">
      <c r="A62" s="4371"/>
      <c r="B62" s="2748" t="s">
        <v>30</v>
      </c>
      <c r="C62" s="4365" t="s">
        <v>516</v>
      </c>
      <c r="D62" s="1830">
        <f>+D63</f>
        <v>267990</v>
      </c>
      <c r="E62" s="1830">
        <f t="shared" ref="E62:W62" si="52">E63</f>
        <v>0</v>
      </c>
      <c r="F62" s="1830">
        <f t="shared" si="52"/>
        <v>0</v>
      </c>
      <c r="G62" s="1830">
        <f t="shared" si="52"/>
        <v>0</v>
      </c>
      <c r="H62" s="1830">
        <f t="shared" si="52"/>
        <v>0</v>
      </c>
      <c r="I62" s="1830">
        <f t="shared" si="52"/>
        <v>0</v>
      </c>
      <c r="J62" s="1830">
        <f t="shared" si="52"/>
        <v>0</v>
      </c>
      <c r="K62" s="1830">
        <f t="shared" si="52"/>
        <v>0</v>
      </c>
      <c r="L62" s="1830">
        <f t="shared" si="52"/>
        <v>0</v>
      </c>
      <c r="M62" s="1830">
        <f t="shared" si="52"/>
        <v>160044</v>
      </c>
      <c r="N62" s="1830">
        <f t="shared" si="52"/>
        <v>160044</v>
      </c>
      <c r="O62" s="1830">
        <f t="shared" si="52"/>
        <v>54097</v>
      </c>
      <c r="P62" s="1830">
        <f t="shared" si="52"/>
        <v>53849</v>
      </c>
      <c r="Q62" s="1830">
        <f t="shared" si="52"/>
        <v>0</v>
      </c>
      <c r="R62" s="1830">
        <f t="shared" si="52"/>
        <v>0</v>
      </c>
      <c r="S62" s="1830">
        <f t="shared" si="52"/>
        <v>0</v>
      </c>
      <c r="T62" s="1830">
        <f t="shared" si="52"/>
        <v>0</v>
      </c>
      <c r="U62" s="1830">
        <f t="shared" si="52"/>
        <v>0</v>
      </c>
      <c r="V62" s="1830">
        <f t="shared" si="52"/>
        <v>0</v>
      </c>
      <c r="W62" s="1830">
        <f t="shared" si="52"/>
        <v>0</v>
      </c>
      <c r="X62" s="4369"/>
      <c r="Y62" s="4155"/>
    </row>
    <row r="63" spans="1:25" ht="12.75" thickBot="1">
      <c r="A63" s="4105"/>
      <c r="B63" s="2750" t="s">
        <v>32</v>
      </c>
      <c r="C63" s="4367"/>
      <c r="D63" s="2265">
        <f>M63+O63+P63+Q63+R63+S63+T63+U63+V63+W63</f>
        <v>267990</v>
      </c>
      <c r="E63" s="1829">
        <f>+F63+G63+H63</f>
        <v>0</v>
      </c>
      <c r="F63" s="1829"/>
      <c r="G63" s="1829"/>
      <c r="H63" s="1829">
        <v>0</v>
      </c>
      <c r="I63" s="1829">
        <v>0</v>
      </c>
      <c r="J63" s="1829">
        <v>0</v>
      </c>
      <c r="K63" s="1829">
        <v>0</v>
      </c>
      <c r="L63" s="1829"/>
      <c r="M63" s="2265">
        <f>+L63+N63</f>
        <v>160044</v>
      </c>
      <c r="N63" s="1829">
        <v>160044</v>
      </c>
      <c r="O63" s="1829">
        <v>54097</v>
      </c>
      <c r="P63" s="1829">
        <v>53849</v>
      </c>
      <c r="Q63" s="1829">
        <v>0</v>
      </c>
      <c r="R63" s="1829">
        <v>0</v>
      </c>
      <c r="S63" s="1829">
        <v>0</v>
      </c>
      <c r="T63" s="1829">
        <v>0</v>
      </c>
      <c r="U63" s="1829">
        <v>0</v>
      </c>
      <c r="V63" s="1829">
        <v>0</v>
      </c>
      <c r="W63" s="1829">
        <v>0</v>
      </c>
      <c r="X63" s="4370"/>
      <c r="Y63" s="4156"/>
    </row>
    <row r="64" spans="1:25" ht="9" customHeight="1">
      <c r="A64" s="1029"/>
      <c r="B64" s="801"/>
      <c r="C64" s="802"/>
      <c r="D64" s="803"/>
      <c r="E64" s="804"/>
      <c r="F64" s="804"/>
      <c r="G64" s="804"/>
      <c r="H64" s="804"/>
      <c r="I64" s="804"/>
      <c r="J64" s="804"/>
      <c r="K64" s="804"/>
      <c r="L64" s="804"/>
      <c r="M64" s="804"/>
      <c r="N64" s="804"/>
      <c r="O64" s="804"/>
      <c r="P64" s="804"/>
      <c r="Q64" s="804"/>
      <c r="R64" s="804"/>
      <c r="S64" s="804"/>
      <c r="T64" s="805"/>
      <c r="U64" s="805"/>
      <c r="V64" s="805"/>
      <c r="W64" s="805"/>
      <c r="X64" s="1576"/>
      <c r="Y64" s="802"/>
    </row>
    <row r="65" spans="1:119" s="808" customFormat="1" ht="26.25" customHeight="1" thickBot="1">
      <c r="A65" s="4377" t="s">
        <v>199</v>
      </c>
      <c r="B65" s="4377"/>
      <c r="C65" s="4377"/>
      <c r="D65" s="4377"/>
      <c r="E65" s="4377"/>
      <c r="F65" s="4377"/>
      <c r="G65" s="4377"/>
      <c r="H65" s="4377"/>
      <c r="I65" s="4377"/>
      <c r="J65" s="4377"/>
      <c r="K65" s="4377"/>
      <c r="L65" s="4377"/>
      <c r="M65" s="4377"/>
      <c r="N65" s="4377"/>
      <c r="O65" s="4377"/>
      <c r="P65" s="4377"/>
      <c r="Q65" s="4377"/>
      <c r="R65" s="4377"/>
      <c r="S65" s="4377"/>
      <c r="T65" s="4377"/>
      <c r="U65" s="4377"/>
      <c r="V65" s="4377"/>
      <c r="W65" s="4377"/>
      <c r="X65" s="1577"/>
      <c r="Y65" s="806"/>
      <c r="Z65" s="807"/>
      <c r="AA65" s="807"/>
      <c r="AB65" s="807"/>
      <c r="AC65" s="807"/>
      <c r="AD65" s="807"/>
      <c r="AE65" s="807"/>
      <c r="AF65" s="807"/>
      <c r="AG65" s="807"/>
      <c r="AH65" s="807"/>
      <c r="AI65" s="807"/>
      <c r="AJ65" s="807"/>
      <c r="AK65" s="807"/>
      <c r="AL65" s="807"/>
      <c r="AM65" s="807"/>
      <c r="AN65" s="807"/>
      <c r="AO65" s="807"/>
      <c r="AP65" s="807"/>
      <c r="AQ65" s="807"/>
      <c r="AR65" s="807"/>
      <c r="AS65" s="807"/>
      <c r="AT65" s="807"/>
      <c r="AU65" s="807"/>
      <c r="AV65" s="807"/>
      <c r="AW65" s="807"/>
      <c r="AX65" s="807"/>
      <c r="AY65" s="807"/>
      <c r="AZ65" s="807"/>
      <c r="BA65" s="807"/>
      <c r="BB65" s="807"/>
      <c r="BC65" s="807"/>
      <c r="BD65" s="807"/>
      <c r="BE65" s="807"/>
      <c r="BF65" s="807"/>
      <c r="BG65" s="807"/>
      <c r="BH65" s="807"/>
      <c r="BI65" s="807"/>
      <c r="BJ65" s="807"/>
      <c r="BK65" s="807"/>
      <c r="BL65" s="807"/>
      <c r="BM65" s="807"/>
      <c r="BN65" s="807"/>
      <c r="BO65" s="807"/>
      <c r="BP65" s="807"/>
      <c r="BQ65" s="807"/>
      <c r="BR65" s="807"/>
      <c r="BS65" s="807"/>
      <c r="BT65" s="807"/>
      <c r="BU65" s="807"/>
      <c r="BV65" s="807"/>
      <c r="BW65" s="807"/>
      <c r="BX65" s="807"/>
      <c r="BY65" s="807"/>
      <c r="BZ65" s="807"/>
      <c r="CA65" s="807"/>
      <c r="CB65" s="807"/>
      <c r="CC65" s="807"/>
      <c r="CD65" s="807"/>
      <c r="CE65" s="807"/>
      <c r="CF65" s="807"/>
      <c r="CG65" s="807"/>
      <c r="CH65" s="807"/>
      <c r="CI65" s="807"/>
      <c r="CJ65" s="807"/>
      <c r="CK65" s="807"/>
      <c r="CL65" s="807"/>
      <c r="CM65" s="807"/>
      <c r="CN65" s="807"/>
      <c r="CO65" s="807"/>
      <c r="CP65" s="807"/>
      <c r="CQ65" s="807"/>
      <c r="CR65" s="807"/>
      <c r="CS65" s="807"/>
      <c r="CT65" s="807"/>
      <c r="CU65" s="807"/>
      <c r="CV65" s="807"/>
      <c r="CW65" s="807"/>
      <c r="CX65" s="807"/>
      <c r="CY65" s="807"/>
      <c r="CZ65" s="807"/>
      <c r="DA65" s="807"/>
      <c r="DB65" s="807"/>
      <c r="DC65" s="807"/>
      <c r="DD65" s="807"/>
      <c r="DE65" s="807"/>
      <c r="DF65" s="807"/>
      <c r="DG65" s="807"/>
      <c r="DH65" s="807"/>
      <c r="DI65" s="807"/>
      <c r="DJ65" s="807"/>
      <c r="DK65" s="807"/>
      <c r="DL65" s="807"/>
      <c r="DM65" s="807"/>
      <c r="DN65" s="807"/>
      <c r="DO65" s="807"/>
    </row>
    <row r="66" spans="1:119" s="1769" customFormat="1" ht="14.25" customHeight="1">
      <c r="A66" s="760"/>
      <c r="B66" s="999" t="s">
        <v>92</v>
      </c>
      <c r="C66" s="991"/>
      <c r="D66" s="1000">
        <f>+D67+D68</f>
        <v>159718</v>
      </c>
      <c r="E66" s="1000">
        <f t="shared" ref="E66:W66" si="53">+E67+E68</f>
        <v>0</v>
      </c>
      <c r="F66" s="1000">
        <f t="shared" si="53"/>
        <v>0</v>
      </c>
      <c r="G66" s="1000">
        <f t="shared" si="53"/>
        <v>0</v>
      </c>
      <c r="H66" s="1000">
        <f t="shared" si="53"/>
        <v>0</v>
      </c>
      <c r="I66" s="1000">
        <f t="shared" si="53"/>
        <v>0</v>
      </c>
      <c r="J66" s="1000">
        <f t="shared" si="53"/>
        <v>0</v>
      </c>
      <c r="K66" s="1000">
        <f t="shared" si="53"/>
        <v>0</v>
      </c>
      <c r="L66" s="1000">
        <f t="shared" si="53"/>
        <v>16605</v>
      </c>
      <c r="M66" s="1000">
        <f t="shared" si="53"/>
        <v>134101</v>
      </c>
      <c r="N66" s="1000">
        <f t="shared" si="53"/>
        <v>117496</v>
      </c>
      <c r="O66" s="1000">
        <f t="shared" si="53"/>
        <v>25617</v>
      </c>
      <c r="P66" s="1000">
        <f t="shared" si="53"/>
        <v>0</v>
      </c>
      <c r="Q66" s="1000">
        <f t="shared" si="53"/>
        <v>0</v>
      </c>
      <c r="R66" s="1000">
        <f t="shared" si="53"/>
        <v>0</v>
      </c>
      <c r="S66" s="1000">
        <f t="shared" si="53"/>
        <v>0</v>
      </c>
      <c r="T66" s="1000">
        <f t="shared" si="53"/>
        <v>0</v>
      </c>
      <c r="U66" s="1000">
        <f t="shared" si="53"/>
        <v>0</v>
      </c>
      <c r="V66" s="1000">
        <f t="shared" si="53"/>
        <v>0</v>
      </c>
      <c r="W66" s="1000">
        <f t="shared" si="53"/>
        <v>0</v>
      </c>
      <c r="X66" s="351">
        <f>+X67+X68</f>
        <v>0</v>
      </c>
      <c r="Y66" s="4363"/>
    </row>
    <row r="67" spans="1:119" s="1769" customFormat="1" ht="13.5" customHeight="1">
      <c r="A67" s="760"/>
      <c r="B67" s="993" t="s">
        <v>93</v>
      </c>
      <c r="C67" s="994"/>
      <c r="D67" s="995">
        <v>0</v>
      </c>
      <c r="E67" s="995">
        <v>0</v>
      </c>
      <c r="F67" s="995">
        <v>0</v>
      </c>
      <c r="G67" s="995">
        <v>0</v>
      </c>
      <c r="H67" s="995">
        <v>0</v>
      </c>
      <c r="I67" s="995">
        <v>0</v>
      </c>
      <c r="J67" s="995">
        <v>0</v>
      </c>
      <c r="K67" s="995">
        <v>0</v>
      </c>
      <c r="L67" s="995">
        <v>0</v>
      </c>
      <c r="M67" s="995">
        <v>0</v>
      </c>
      <c r="N67" s="995">
        <v>0</v>
      </c>
      <c r="O67" s="995">
        <v>0</v>
      </c>
      <c r="P67" s="995">
        <v>0</v>
      </c>
      <c r="Q67" s="995">
        <v>0</v>
      </c>
      <c r="R67" s="995">
        <v>0</v>
      </c>
      <c r="S67" s="995">
        <v>0</v>
      </c>
      <c r="T67" s="995">
        <v>0</v>
      </c>
      <c r="U67" s="995">
        <v>0</v>
      </c>
      <c r="V67" s="995">
        <v>0</v>
      </c>
      <c r="W67" s="995">
        <v>0</v>
      </c>
      <c r="X67" s="354">
        <f>SUM(O67:S67)</f>
        <v>0</v>
      </c>
      <c r="Y67" s="4364"/>
    </row>
    <row r="68" spans="1:119" s="1769" customFormat="1" ht="13.5" customHeight="1" thickBot="1">
      <c r="A68" s="760"/>
      <c r="B68" s="996" t="s">
        <v>21</v>
      </c>
      <c r="C68" s="1007"/>
      <c r="D68" s="998">
        <f>+D85+D89+D94+D106</f>
        <v>159718</v>
      </c>
      <c r="E68" s="998">
        <f>+E85+E89+E94+E106</f>
        <v>0</v>
      </c>
      <c r="F68" s="998">
        <f t="shared" ref="F68:Q68" si="54">+F85+F89+F94+F106</f>
        <v>0</v>
      </c>
      <c r="G68" s="998">
        <f t="shared" si="54"/>
        <v>0</v>
      </c>
      <c r="H68" s="998">
        <f t="shared" si="54"/>
        <v>0</v>
      </c>
      <c r="I68" s="998">
        <f t="shared" si="54"/>
        <v>0</v>
      </c>
      <c r="J68" s="998">
        <f t="shared" si="54"/>
        <v>0</v>
      </c>
      <c r="K68" s="998">
        <f t="shared" si="54"/>
        <v>0</v>
      </c>
      <c r="L68" s="998">
        <f t="shared" si="54"/>
        <v>16605</v>
      </c>
      <c r="M68" s="998">
        <f t="shared" si="54"/>
        <v>134101</v>
      </c>
      <c r="N68" s="998">
        <f t="shared" si="54"/>
        <v>117496</v>
      </c>
      <c r="O68" s="998">
        <f t="shared" si="54"/>
        <v>25617</v>
      </c>
      <c r="P68" s="998">
        <f t="shared" si="54"/>
        <v>0</v>
      </c>
      <c r="Q68" s="998">
        <f t="shared" si="54"/>
        <v>0</v>
      </c>
      <c r="R68" s="998">
        <f>+R85+R89+R94+R106</f>
        <v>0</v>
      </c>
      <c r="S68" s="998">
        <f t="shared" ref="S68:W68" si="55">+S85+S89+S94+S106</f>
        <v>0</v>
      </c>
      <c r="T68" s="998">
        <f t="shared" si="55"/>
        <v>0</v>
      </c>
      <c r="U68" s="998">
        <f t="shared" si="55"/>
        <v>0</v>
      </c>
      <c r="V68" s="998">
        <f t="shared" si="55"/>
        <v>0</v>
      </c>
      <c r="W68" s="998">
        <f t="shared" si="55"/>
        <v>0</v>
      </c>
      <c r="X68" s="354">
        <f>SUM(P68:S68)</f>
        <v>0</v>
      </c>
      <c r="Y68" s="4364"/>
    </row>
    <row r="69" spans="1:119" s="808" customFormat="1" ht="13.5" customHeight="1">
      <c r="A69" s="760"/>
      <c r="B69" s="809" t="s">
        <v>22</v>
      </c>
      <c r="C69" s="810"/>
      <c r="D69" s="811">
        <f>D70+D74</f>
        <v>159718</v>
      </c>
      <c r="E69" s="811">
        <f>+E70+E74</f>
        <v>0</v>
      </c>
      <c r="F69" s="811">
        <f t="shared" ref="F69:W69" si="56">+F70+F74</f>
        <v>0</v>
      </c>
      <c r="G69" s="811">
        <f t="shared" si="56"/>
        <v>0</v>
      </c>
      <c r="H69" s="811">
        <f t="shared" si="56"/>
        <v>0</v>
      </c>
      <c r="I69" s="811">
        <f t="shared" si="56"/>
        <v>0</v>
      </c>
      <c r="J69" s="811">
        <f t="shared" si="56"/>
        <v>0</v>
      </c>
      <c r="K69" s="811">
        <f t="shared" si="56"/>
        <v>0</v>
      </c>
      <c r="L69" s="811">
        <f t="shared" si="56"/>
        <v>16605</v>
      </c>
      <c r="M69" s="811">
        <f>+M70+M74</f>
        <v>134101</v>
      </c>
      <c r="N69" s="811">
        <f>+N70+N74</f>
        <v>117496</v>
      </c>
      <c r="O69" s="811">
        <f>+O70+O74</f>
        <v>25617</v>
      </c>
      <c r="P69" s="811">
        <f t="shared" si="56"/>
        <v>0</v>
      </c>
      <c r="Q69" s="811">
        <f t="shared" si="56"/>
        <v>0</v>
      </c>
      <c r="R69" s="811">
        <f t="shared" si="56"/>
        <v>0</v>
      </c>
      <c r="S69" s="811">
        <f t="shared" si="56"/>
        <v>0</v>
      </c>
      <c r="T69" s="811">
        <f t="shared" si="56"/>
        <v>0</v>
      </c>
      <c r="U69" s="811">
        <f t="shared" si="56"/>
        <v>0</v>
      </c>
      <c r="V69" s="811">
        <f t="shared" si="56"/>
        <v>0</v>
      </c>
      <c r="W69" s="811">
        <f t="shared" si="56"/>
        <v>0</v>
      </c>
      <c r="X69" s="812">
        <f>+X70</f>
        <v>0</v>
      </c>
      <c r="Y69" s="4363"/>
      <c r="Z69" s="807"/>
      <c r="AA69" s="807"/>
      <c r="AB69" s="807"/>
      <c r="AC69" s="807"/>
      <c r="AD69" s="807"/>
      <c r="AE69" s="807"/>
      <c r="AF69" s="807"/>
      <c r="AG69" s="807"/>
      <c r="AH69" s="807"/>
      <c r="AI69" s="807"/>
      <c r="AJ69" s="807"/>
      <c r="AK69" s="807"/>
      <c r="AL69" s="807"/>
      <c r="AM69" s="807"/>
      <c r="AN69" s="807"/>
      <c r="AO69" s="807"/>
      <c r="AP69" s="807"/>
      <c r="AQ69" s="807"/>
      <c r="AR69" s="807"/>
      <c r="AS69" s="807"/>
      <c r="AT69" s="807"/>
      <c r="AU69" s="807"/>
      <c r="AV69" s="807"/>
      <c r="AW69" s="807"/>
      <c r="AX69" s="807"/>
      <c r="AY69" s="807"/>
      <c r="AZ69" s="807"/>
      <c r="BA69" s="807"/>
      <c r="BB69" s="807"/>
      <c r="BC69" s="807"/>
      <c r="BD69" s="807"/>
      <c r="BE69" s="807"/>
      <c r="BF69" s="807"/>
      <c r="BG69" s="807"/>
      <c r="BH69" s="807"/>
      <c r="BI69" s="807"/>
      <c r="BJ69" s="807"/>
      <c r="BK69" s="807"/>
      <c r="BL69" s="807"/>
      <c r="BM69" s="807"/>
      <c r="BN69" s="807"/>
      <c r="BO69" s="807"/>
      <c r="BP69" s="807"/>
      <c r="BQ69" s="807"/>
      <c r="BR69" s="807"/>
      <c r="BS69" s="807"/>
      <c r="BT69" s="807"/>
      <c r="BU69" s="807"/>
      <c r="BV69" s="807"/>
      <c r="BW69" s="807"/>
      <c r="BX69" s="807"/>
      <c r="BY69" s="807"/>
      <c r="BZ69" s="807"/>
      <c r="CA69" s="807"/>
      <c r="CB69" s="807"/>
      <c r="CC69" s="807"/>
      <c r="CD69" s="807"/>
      <c r="CE69" s="807"/>
      <c r="CF69" s="807"/>
      <c r="CG69" s="807"/>
      <c r="CH69" s="807"/>
      <c r="CI69" s="807"/>
      <c r="CJ69" s="807"/>
      <c r="CK69" s="807"/>
      <c r="CL69" s="807"/>
      <c r="CM69" s="807"/>
      <c r="CN69" s="807"/>
      <c r="CO69" s="807"/>
      <c r="CP69" s="807"/>
      <c r="CQ69" s="807"/>
      <c r="CR69" s="807"/>
      <c r="CS69" s="807"/>
      <c r="CT69" s="807"/>
      <c r="CU69" s="807"/>
      <c r="CV69" s="807"/>
      <c r="CW69" s="807"/>
      <c r="CX69" s="807"/>
      <c r="CY69" s="807"/>
      <c r="CZ69" s="807"/>
      <c r="DA69" s="807"/>
      <c r="DB69" s="807"/>
      <c r="DC69" s="807"/>
      <c r="DD69" s="807"/>
      <c r="DE69" s="807"/>
      <c r="DF69" s="807"/>
      <c r="DG69" s="807"/>
      <c r="DH69" s="807"/>
      <c r="DI69" s="807"/>
      <c r="DJ69" s="807"/>
      <c r="DK69" s="807"/>
      <c r="DL69" s="807"/>
      <c r="DM69" s="807"/>
      <c r="DN69" s="807"/>
      <c r="DO69" s="807"/>
    </row>
    <row r="70" spans="1:119" s="808" customFormat="1" ht="13.5" customHeight="1">
      <c r="A70" s="760"/>
      <c r="B70" s="813" t="s">
        <v>23</v>
      </c>
      <c r="C70" s="814"/>
      <c r="D70" s="814">
        <f>+D71+D72+D73</f>
        <v>159718</v>
      </c>
      <c r="E70" s="814">
        <f t="shared" ref="E70:W70" si="57">+E71+E72+E73</f>
        <v>0</v>
      </c>
      <c r="F70" s="814">
        <f t="shared" si="57"/>
        <v>0</v>
      </c>
      <c r="G70" s="814">
        <f t="shared" si="57"/>
        <v>0</v>
      </c>
      <c r="H70" s="814">
        <f t="shared" si="57"/>
        <v>0</v>
      </c>
      <c r="I70" s="814">
        <f t="shared" si="57"/>
        <v>0</v>
      </c>
      <c r="J70" s="814">
        <f t="shared" si="57"/>
        <v>0</v>
      </c>
      <c r="K70" s="814">
        <f t="shared" si="57"/>
        <v>0</v>
      </c>
      <c r="L70" s="814">
        <f t="shared" si="57"/>
        <v>16605</v>
      </c>
      <c r="M70" s="814">
        <f t="shared" si="57"/>
        <v>134101</v>
      </c>
      <c r="N70" s="814">
        <f>+N71+N72+N73</f>
        <v>117496</v>
      </c>
      <c r="O70" s="814">
        <f t="shared" si="57"/>
        <v>25617</v>
      </c>
      <c r="P70" s="814">
        <f t="shared" si="57"/>
        <v>0</v>
      </c>
      <c r="Q70" s="814">
        <f t="shared" si="57"/>
        <v>0</v>
      </c>
      <c r="R70" s="814">
        <f t="shared" si="57"/>
        <v>0</v>
      </c>
      <c r="S70" s="814">
        <f t="shared" si="57"/>
        <v>0</v>
      </c>
      <c r="T70" s="814">
        <f t="shared" si="57"/>
        <v>0</v>
      </c>
      <c r="U70" s="814">
        <f t="shared" si="57"/>
        <v>0</v>
      </c>
      <c r="V70" s="814">
        <f t="shared" si="57"/>
        <v>0</v>
      </c>
      <c r="W70" s="814">
        <f t="shared" si="57"/>
        <v>0</v>
      </c>
      <c r="X70" s="815">
        <f>+X73+X72</f>
        <v>0</v>
      </c>
      <c r="Y70" s="4364"/>
      <c r="Z70" s="816"/>
      <c r="AA70" s="807"/>
      <c r="AB70" s="807"/>
      <c r="AC70" s="807"/>
      <c r="AD70" s="807"/>
      <c r="AE70" s="807"/>
      <c r="AF70" s="807"/>
      <c r="AG70" s="807"/>
      <c r="AH70" s="807"/>
      <c r="AI70" s="807"/>
      <c r="AJ70" s="807"/>
      <c r="AK70" s="807"/>
      <c r="AL70" s="807"/>
      <c r="AM70" s="807"/>
      <c r="AN70" s="807"/>
      <c r="AO70" s="807"/>
      <c r="AP70" s="807"/>
      <c r="AQ70" s="807"/>
      <c r="AR70" s="807"/>
      <c r="AS70" s="807"/>
      <c r="AT70" s="807"/>
      <c r="AU70" s="807"/>
      <c r="AV70" s="807"/>
      <c r="AW70" s="807"/>
      <c r="AX70" s="807"/>
      <c r="AY70" s="807"/>
      <c r="AZ70" s="807"/>
      <c r="BA70" s="807"/>
      <c r="BB70" s="807"/>
      <c r="BC70" s="807"/>
      <c r="BD70" s="807"/>
      <c r="BE70" s="807"/>
      <c r="BF70" s="807"/>
      <c r="BG70" s="807"/>
      <c r="BH70" s="807"/>
      <c r="BI70" s="807"/>
      <c r="BJ70" s="807"/>
      <c r="BK70" s="807"/>
      <c r="BL70" s="807"/>
      <c r="BM70" s="807"/>
      <c r="BN70" s="807"/>
      <c r="BO70" s="807"/>
      <c r="BP70" s="807"/>
      <c r="BQ70" s="807"/>
      <c r="BR70" s="807"/>
      <c r="BS70" s="807"/>
      <c r="BT70" s="807"/>
      <c r="BU70" s="807"/>
      <c r="BV70" s="807"/>
      <c r="BW70" s="807"/>
      <c r="BX70" s="807"/>
      <c r="BY70" s="807"/>
      <c r="BZ70" s="807"/>
      <c r="CA70" s="807"/>
      <c r="CB70" s="807"/>
      <c r="CC70" s="807"/>
      <c r="CD70" s="807"/>
      <c r="CE70" s="807"/>
      <c r="CF70" s="807"/>
      <c r="CG70" s="807"/>
      <c r="CH70" s="807"/>
      <c r="CI70" s="807"/>
      <c r="CJ70" s="807"/>
      <c r="CK70" s="807"/>
      <c r="CL70" s="807"/>
      <c r="CM70" s="807"/>
      <c r="CN70" s="807"/>
      <c r="CO70" s="807"/>
      <c r="CP70" s="807"/>
      <c r="CQ70" s="807"/>
      <c r="CR70" s="807"/>
      <c r="CS70" s="807"/>
      <c r="CT70" s="807"/>
      <c r="CU70" s="807"/>
      <c r="CV70" s="807"/>
      <c r="CW70" s="807"/>
      <c r="CX70" s="807"/>
      <c r="CY70" s="807"/>
      <c r="CZ70" s="807"/>
      <c r="DA70" s="807"/>
      <c r="DB70" s="807"/>
      <c r="DC70" s="807"/>
      <c r="DD70" s="807"/>
      <c r="DE70" s="807"/>
      <c r="DF70" s="807"/>
      <c r="DG70" s="807"/>
      <c r="DH70" s="807"/>
      <c r="DI70" s="807"/>
      <c r="DJ70" s="807"/>
      <c r="DK70" s="807"/>
      <c r="DL70" s="807"/>
      <c r="DM70" s="807"/>
      <c r="DN70" s="807"/>
      <c r="DO70" s="807"/>
    </row>
    <row r="71" spans="1:119" s="808" customFormat="1" ht="13.5" customHeight="1">
      <c r="A71" s="760"/>
      <c r="B71" s="817" t="s">
        <v>200</v>
      </c>
      <c r="C71" s="818"/>
      <c r="D71" s="818">
        <f>+D93</f>
        <v>0</v>
      </c>
      <c r="E71" s="818">
        <f t="shared" ref="E71:Q71" si="58">+E93</f>
        <v>0</v>
      </c>
      <c r="F71" s="818">
        <f t="shared" si="58"/>
        <v>0</v>
      </c>
      <c r="G71" s="818">
        <f t="shared" si="58"/>
        <v>0</v>
      </c>
      <c r="H71" s="818">
        <f t="shared" si="58"/>
        <v>0</v>
      </c>
      <c r="I71" s="818">
        <f t="shared" si="58"/>
        <v>0</v>
      </c>
      <c r="J71" s="818">
        <f t="shared" si="58"/>
        <v>0</v>
      </c>
      <c r="K71" s="818">
        <f t="shared" si="58"/>
        <v>0</v>
      </c>
      <c r="L71" s="818">
        <f t="shared" si="58"/>
        <v>0</v>
      </c>
      <c r="M71" s="818">
        <f t="shared" si="58"/>
        <v>0</v>
      </c>
      <c r="N71" s="818">
        <f t="shared" si="58"/>
        <v>0</v>
      </c>
      <c r="O71" s="818">
        <f t="shared" si="58"/>
        <v>0</v>
      </c>
      <c r="P71" s="818">
        <f t="shared" si="58"/>
        <v>0</v>
      </c>
      <c r="Q71" s="818">
        <f t="shared" si="58"/>
        <v>0</v>
      </c>
      <c r="R71" s="818">
        <v>0</v>
      </c>
      <c r="S71" s="818">
        <v>0</v>
      </c>
      <c r="T71" s="818">
        <v>0</v>
      </c>
      <c r="U71" s="818">
        <v>0</v>
      </c>
      <c r="V71" s="818">
        <v>0</v>
      </c>
      <c r="W71" s="818">
        <v>0</v>
      </c>
      <c r="X71" s="819" t="s">
        <v>77</v>
      </c>
      <c r="Y71" s="4364"/>
      <c r="Z71" s="816"/>
      <c r="AA71" s="807"/>
      <c r="AB71" s="807"/>
      <c r="AC71" s="807"/>
      <c r="AD71" s="807"/>
      <c r="AE71" s="807"/>
      <c r="AF71" s="807"/>
      <c r="AG71" s="807"/>
      <c r="AH71" s="807"/>
      <c r="AI71" s="807"/>
      <c r="AJ71" s="807"/>
      <c r="AK71" s="807"/>
      <c r="AL71" s="807"/>
      <c r="AM71" s="807"/>
      <c r="AN71" s="807"/>
      <c r="AO71" s="807"/>
      <c r="AP71" s="807"/>
      <c r="AQ71" s="807"/>
      <c r="AR71" s="807"/>
      <c r="AS71" s="807"/>
      <c r="AT71" s="807"/>
      <c r="AU71" s="807"/>
      <c r="AV71" s="807"/>
      <c r="AW71" s="807"/>
      <c r="AX71" s="807"/>
      <c r="AY71" s="807"/>
      <c r="AZ71" s="807"/>
      <c r="BA71" s="807"/>
      <c r="BB71" s="807"/>
      <c r="BC71" s="807"/>
      <c r="BD71" s="807"/>
      <c r="BE71" s="807"/>
      <c r="BF71" s="807"/>
      <c r="BG71" s="807"/>
      <c r="BH71" s="807"/>
      <c r="BI71" s="807"/>
      <c r="BJ71" s="807"/>
      <c r="BK71" s="807"/>
      <c r="BL71" s="807"/>
      <c r="BM71" s="807"/>
      <c r="BN71" s="807"/>
      <c r="BO71" s="807"/>
      <c r="BP71" s="807"/>
      <c r="BQ71" s="807"/>
      <c r="BR71" s="807"/>
      <c r="BS71" s="807"/>
      <c r="BT71" s="807"/>
      <c r="BU71" s="807"/>
      <c r="BV71" s="807"/>
      <c r="BW71" s="807"/>
      <c r="BX71" s="807"/>
      <c r="BY71" s="807"/>
      <c r="BZ71" s="807"/>
      <c r="CA71" s="807"/>
      <c r="CB71" s="807"/>
      <c r="CC71" s="807"/>
      <c r="CD71" s="807"/>
      <c r="CE71" s="807"/>
      <c r="CF71" s="807"/>
      <c r="CG71" s="807"/>
      <c r="CH71" s="807"/>
      <c r="CI71" s="807"/>
      <c r="CJ71" s="807"/>
      <c r="CK71" s="807"/>
      <c r="CL71" s="807"/>
      <c r="CM71" s="807"/>
      <c r="CN71" s="807"/>
      <c r="CO71" s="807"/>
      <c r="CP71" s="807"/>
      <c r="CQ71" s="807"/>
      <c r="CR71" s="807"/>
      <c r="CS71" s="807"/>
      <c r="CT71" s="807"/>
      <c r="CU71" s="807"/>
      <c r="CV71" s="807"/>
      <c r="CW71" s="807"/>
      <c r="CX71" s="807"/>
      <c r="CY71" s="807"/>
      <c r="CZ71" s="807"/>
      <c r="DA71" s="807"/>
      <c r="DB71" s="807"/>
      <c r="DC71" s="807"/>
      <c r="DD71" s="807"/>
      <c r="DE71" s="807"/>
      <c r="DF71" s="807"/>
      <c r="DG71" s="807"/>
      <c r="DH71" s="807"/>
      <c r="DI71" s="807"/>
      <c r="DJ71" s="807"/>
      <c r="DK71" s="807"/>
      <c r="DL71" s="807"/>
      <c r="DM71" s="807"/>
      <c r="DN71" s="807"/>
      <c r="DO71" s="807"/>
    </row>
    <row r="72" spans="1:119" s="808" customFormat="1" ht="13.5" customHeight="1">
      <c r="A72" s="760"/>
      <c r="B72" s="817" t="s">
        <v>201</v>
      </c>
      <c r="C72" s="818"/>
      <c r="D72" s="818">
        <f>+D94+D106</f>
        <v>159718</v>
      </c>
      <c r="E72" s="818">
        <f t="shared" ref="E72:T72" si="59">+E94+E106</f>
        <v>0</v>
      </c>
      <c r="F72" s="818">
        <f t="shared" si="59"/>
        <v>0</v>
      </c>
      <c r="G72" s="818">
        <f t="shared" si="59"/>
        <v>0</v>
      </c>
      <c r="H72" s="818">
        <f t="shared" si="59"/>
        <v>0</v>
      </c>
      <c r="I72" s="818">
        <f t="shared" si="59"/>
        <v>0</v>
      </c>
      <c r="J72" s="818">
        <f t="shared" si="59"/>
        <v>0</v>
      </c>
      <c r="K72" s="818">
        <f>+K94+K106</f>
        <v>0</v>
      </c>
      <c r="L72" s="818">
        <f t="shared" si="59"/>
        <v>16605</v>
      </c>
      <c r="M72" s="818">
        <f t="shared" si="59"/>
        <v>134101</v>
      </c>
      <c r="N72" s="818">
        <f t="shared" si="59"/>
        <v>117496</v>
      </c>
      <c r="O72" s="818">
        <f t="shared" si="59"/>
        <v>25617</v>
      </c>
      <c r="P72" s="818">
        <f t="shared" si="59"/>
        <v>0</v>
      </c>
      <c r="Q72" s="818">
        <f t="shared" si="59"/>
        <v>0</v>
      </c>
      <c r="R72" s="818">
        <f t="shared" si="59"/>
        <v>0</v>
      </c>
      <c r="S72" s="818">
        <f t="shared" si="59"/>
        <v>0</v>
      </c>
      <c r="T72" s="818">
        <f t="shared" si="59"/>
        <v>0</v>
      </c>
      <c r="U72" s="818">
        <v>0</v>
      </c>
      <c r="V72" s="818">
        <v>0</v>
      </c>
      <c r="W72" s="818">
        <v>0</v>
      </c>
      <c r="X72" s="1572">
        <f>+T72+S72+R72+Q72+P72</f>
        <v>0</v>
      </c>
      <c r="Y72" s="4364"/>
      <c r="Z72" s="816"/>
      <c r="AA72" s="807"/>
      <c r="AB72" s="807"/>
      <c r="AC72" s="807"/>
      <c r="AD72" s="807"/>
      <c r="AE72" s="807"/>
      <c r="AF72" s="807"/>
      <c r="AG72" s="807"/>
      <c r="AH72" s="807"/>
      <c r="AI72" s="807"/>
      <c r="AJ72" s="807"/>
      <c r="AK72" s="807"/>
      <c r="AL72" s="807"/>
      <c r="AM72" s="807"/>
      <c r="AN72" s="807"/>
      <c r="AO72" s="807"/>
      <c r="AP72" s="807"/>
      <c r="AQ72" s="807"/>
      <c r="AR72" s="807"/>
      <c r="AS72" s="807"/>
      <c r="AT72" s="807"/>
      <c r="AU72" s="807"/>
      <c r="AV72" s="807"/>
      <c r="AW72" s="807"/>
      <c r="AX72" s="807"/>
      <c r="AY72" s="807"/>
      <c r="AZ72" s="807"/>
      <c r="BA72" s="807"/>
      <c r="BB72" s="807"/>
      <c r="BC72" s="807"/>
      <c r="BD72" s="807"/>
      <c r="BE72" s="807"/>
      <c r="BF72" s="807"/>
      <c r="BG72" s="807"/>
      <c r="BH72" s="807"/>
      <c r="BI72" s="807"/>
      <c r="BJ72" s="807"/>
      <c r="BK72" s="807"/>
      <c r="BL72" s="807"/>
      <c r="BM72" s="807"/>
      <c r="BN72" s="807"/>
      <c r="BO72" s="807"/>
      <c r="BP72" s="807"/>
      <c r="BQ72" s="807"/>
      <c r="BR72" s="807"/>
      <c r="BS72" s="807"/>
      <c r="BT72" s="807"/>
      <c r="BU72" s="807"/>
      <c r="BV72" s="807"/>
      <c r="BW72" s="807"/>
      <c r="BX72" s="807"/>
      <c r="BY72" s="807"/>
      <c r="BZ72" s="807"/>
      <c r="CA72" s="807"/>
      <c r="CB72" s="807"/>
      <c r="CC72" s="807"/>
      <c r="CD72" s="807"/>
      <c r="CE72" s="807"/>
      <c r="CF72" s="807"/>
      <c r="CG72" s="807"/>
      <c r="CH72" s="807"/>
      <c r="CI72" s="807"/>
      <c r="CJ72" s="807"/>
      <c r="CK72" s="807"/>
      <c r="CL72" s="807"/>
      <c r="CM72" s="807"/>
      <c r="CN72" s="807"/>
      <c r="CO72" s="807"/>
      <c r="CP72" s="807"/>
      <c r="CQ72" s="807"/>
      <c r="CR72" s="807"/>
      <c r="CS72" s="807"/>
      <c r="CT72" s="807"/>
      <c r="CU72" s="807"/>
      <c r="CV72" s="807"/>
      <c r="CW72" s="807"/>
      <c r="CX72" s="807"/>
      <c r="CY72" s="807"/>
      <c r="CZ72" s="807"/>
      <c r="DA72" s="807"/>
      <c r="DB72" s="807"/>
      <c r="DC72" s="807"/>
      <c r="DD72" s="807"/>
      <c r="DE72" s="807"/>
      <c r="DF72" s="807"/>
      <c r="DG72" s="807"/>
      <c r="DH72" s="807"/>
      <c r="DI72" s="807"/>
      <c r="DJ72" s="807"/>
      <c r="DK72" s="807"/>
      <c r="DL72" s="807"/>
      <c r="DM72" s="807"/>
      <c r="DN72" s="807"/>
      <c r="DO72" s="807"/>
    </row>
    <row r="73" spans="1:119" s="824" customFormat="1" ht="13.5" hidden="1" customHeight="1">
      <c r="A73" s="741"/>
      <c r="B73" s="820" t="s">
        <v>24</v>
      </c>
      <c r="C73" s="821"/>
      <c r="D73" s="821">
        <f>+D85+D89</f>
        <v>0</v>
      </c>
      <c r="E73" s="821">
        <f t="shared" ref="E73:Q73" si="60">+E85+E89</f>
        <v>0</v>
      </c>
      <c r="F73" s="821">
        <f t="shared" si="60"/>
        <v>0</v>
      </c>
      <c r="G73" s="821">
        <f t="shared" si="60"/>
        <v>0</v>
      </c>
      <c r="H73" s="821">
        <f t="shared" si="60"/>
        <v>0</v>
      </c>
      <c r="I73" s="821">
        <f t="shared" si="60"/>
        <v>0</v>
      </c>
      <c r="J73" s="821">
        <f t="shared" si="60"/>
        <v>0</v>
      </c>
      <c r="K73" s="821">
        <f t="shared" si="60"/>
        <v>0</v>
      </c>
      <c r="L73" s="821">
        <f t="shared" si="60"/>
        <v>0</v>
      </c>
      <c r="M73" s="821">
        <f t="shared" si="60"/>
        <v>0</v>
      </c>
      <c r="N73" s="821">
        <f t="shared" si="60"/>
        <v>0</v>
      </c>
      <c r="O73" s="821">
        <f t="shared" si="60"/>
        <v>0</v>
      </c>
      <c r="P73" s="821">
        <f t="shared" si="60"/>
        <v>0</v>
      </c>
      <c r="Q73" s="821">
        <f t="shared" si="60"/>
        <v>0</v>
      </c>
      <c r="R73" s="821">
        <v>0</v>
      </c>
      <c r="S73" s="821">
        <v>0</v>
      </c>
      <c r="T73" s="821">
        <v>0</v>
      </c>
      <c r="U73" s="821"/>
      <c r="V73" s="821"/>
      <c r="W73" s="821"/>
      <c r="X73" s="822">
        <f>SUM(O73:R73)</f>
        <v>0</v>
      </c>
      <c r="Y73" s="4364"/>
      <c r="Z73" s="823"/>
      <c r="AA73" s="823"/>
      <c r="AB73" s="823"/>
      <c r="AC73" s="823"/>
      <c r="AD73" s="823"/>
      <c r="AE73" s="823"/>
      <c r="AF73" s="823"/>
      <c r="AG73" s="823"/>
      <c r="AH73" s="823"/>
      <c r="AI73" s="823"/>
      <c r="AJ73" s="823"/>
      <c r="AK73" s="823"/>
      <c r="AL73" s="823"/>
      <c r="AM73" s="823"/>
      <c r="AN73" s="823"/>
      <c r="AO73" s="823"/>
      <c r="AP73" s="823"/>
      <c r="AQ73" s="823"/>
      <c r="AR73" s="823"/>
      <c r="AS73" s="823"/>
      <c r="AT73" s="823"/>
      <c r="AU73" s="823"/>
      <c r="AV73" s="823"/>
      <c r="AW73" s="823"/>
      <c r="AX73" s="823"/>
      <c r="AY73" s="823"/>
      <c r="AZ73" s="823"/>
      <c r="BA73" s="823"/>
      <c r="BB73" s="823"/>
      <c r="BC73" s="823"/>
      <c r="BD73" s="823"/>
      <c r="BE73" s="823"/>
      <c r="BF73" s="823"/>
      <c r="BG73" s="823"/>
      <c r="BH73" s="823"/>
      <c r="BI73" s="823"/>
      <c r="BJ73" s="823"/>
      <c r="BK73" s="823"/>
      <c r="BL73" s="823"/>
      <c r="BM73" s="823"/>
      <c r="BN73" s="823"/>
      <c r="BO73" s="823"/>
      <c r="BP73" s="823"/>
      <c r="BQ73" s="823"/>
      <c r="BR73" s="823"/>
      <c r="BS73" s="823"/>
      <c r="BT73" s="823"/>
      <c r="BU73" s="823"/>
      <c r="BV73" s="823"/>
      <c r="BW73" s="823"/>
      <c r="BX73" s="823"/>
      <c r="BY73" s="823"/>
      <c r="BZ73" s="823"/>
      <c r="CA73" s="823"/>
      <c r="CB73" s="823"/>
      <c r="CC73" s="823"/>
      <c r="CD73" s="823"/>
      <c r="CE73" s="823"/>
      <c r="CF73" s="823"/>
      <c r="CG73" s="823"/>
      <c r="CH73" s="823"/>
      <c r="CI73" s="823"/>
      <c r="CJ73" s="823"/>
      <c r="CK73" s="823"/>
      <c r="CL73" s="823"/>
      <c r="CM73" s="823"/>
      <c r="CN73" s="823"/>
      <c r="CO73" s="823"/>
      <c r="CP73" s="823"/>
      <c r="CQ73" s="823"/>
      <c r="CR73" s="823"/>
      <c r="CS73" s="823"/>
      <c r="CT73" s="823"/>
      <c r="CU73" s="823"/>
      <c r="CV73" s="823"/>
      <c r="CW73" s="823"/>
      <c r="CX73" s="823"/>
      <c r="CY73" s="823"/>
      <c r="CZ73" s="823"/>
      <c r="DA73" s="823"/>
      <c r="DB73" s="823"/>
      <c r="DC73" s="823"/>
      <c r="DD73" s="823"/>
      <c r="DE73" s="823"/>
      <c r="DF73" s="823"/>
      <c r="DG73" s="823"/>
      <c r="DH73" s="823"/>
      <c r="DI73" s="823"/>
      <c r="DJ73" s="823"/>
      <c r="DK73" s="823"/>
      <c r="DL73" s="823"/>
      <c r="DM73" s="823"/>
      <c r="DN73" s="823"/>
      <c r="DO73" s="823"/>
    </row>
    <row r="74" spans="1:119" s="808" customFormat="1" ht="13.5" customHeight="1">
      <c r="A74" s="760"/>
      <c r="B74" s="813" t="s">
        <v>30</v>
      </c>
      <c r="C74" s="825"/>
      <c r="D74" s="826">
        <f t="shared" ref="D74" si="61">D75</f>
        <v>0</v>
      </c>
      <c r="E74" s="826"/>
      <c r="F74" s="826"/>
      <c r="G74" s="826"/>
      <c r="H74" s="826"/>
      <c r="I74" s="826"/>
      <c r="J74" s="826"/>
      <c r="K74" s="826">
        <f t="shared" ref="K74:W74" si="62">K75</f>
        <v>0</v>
      </c>
      <c r="L74" s="826">
        <f t="shared" si="62"/>
        <v>0</v>
      </c>
      <c r="M74" s="826">
        <f t="shared" si="62"/>
        <v>0</v>
      </c>
      <c r="N74" s="826">
        <f t="shared" si="62"/>
        <v>0</v>
      </c>
      <c r="O74" s="826">
        <f t="shared" si="62"/>
        <v>0</v>
      </c>
      <c r="P74" s="826">
        <f t="shared" si="62"/>
        <v>0</v>
      </c>
      <c r="Q74" s="826">
        <f t="shared" si="62"/>
        <v>0</v>
      </c>
      <c r="R74" s="825">
        <f t="shared" si="62"/>
        <v>0</v>
      </c>
      <c r="S74" s="825">
        <f t="shared" si="62"/>
        <v>0</v>
      </c>
      <c r="T74" s="825">
        <f t="shared" si="62"/>
        <v>0</v>
      </c>
      <c r="U74" s="825">
        <f t="shared" si="62"/>
        <v>0</v>
      </c>
      <c r="V74" s="825">
        <f t="shared" si="62"/>
        <v>0</v>
      </c>
      <c r="W74" s="825">
        <f t="shared" si="62"/>
        <v>0</v>
      </c>
      <c r="X74" s="827" t="s">
        <v>77</v>
      </c>
      <c r="Y74" s="828"/>
      <c r="Z74" s="807"/>
      <c r="AA74" s="807"/>
      <c r="AB74" s="807"/>
      <c r="AC74" s="807"/>
      <c r="AD74" s="807"/>
      <c r="AE74" s="807"/>
      <c r="AF74" s="807"/>
      <c r="AG74" s="807"/>
      <c r="AH74" s="807"/>
      <c r="AI74" s="807"/>
      <c r="AJ74" s="807"/>
      <c r="AK74" s="807"/>
      <c r="AL74" s="807"/>
      <c r="AM74" s="807"/>
      <c r="AN74" s="807"/>
      <c r="AO74" s="807"/>
      <c r="AP74" s="807"/>
      <c r="AQ74" s="807"/>
      <c r="AR74" s="807"/>
      <c r="AS74" s="807"/>
      <c r="AT74" s="807"/>
      <c r="AU74" s="807"/>
      <c r="AV74" s="807"/>
      <c r="AW74" s="807"/>
      <c r="AX74" s="807"/>
      <c r="AY74" s="807"/>
      <c r="AZ74" s="807"/>
      <c r="BA74" s="807"/>
      <c r="BB74" s="807"/>
      <c r="BC74" s="807"/>
      <c r="BD74" s="807"/>
      <c r="BE74" s="807"/>
      <c r="BF74" s="807"/>
      <c r="BG74" s="807"/>
      <c r="BH74" s="807"/>
      <c r="BI74" s="807"/>
      <c r="BJ74" s="807"/>
      <c r="BK74" s="807"/>
      <c r="BL74" s="807"/>
      <c r="BM74" s="807"/>
      <c r="BN74" s="807"/>
      <c r="BO74" s="807"/>
      <c r="BP74" s="807"/>
      <c r="BQ74" s="807"/>
      <c r="BR74" s="807"/>
      <c r="BS74" s="807"/>
      <c r="BT74" s="807"/>
      <c r="BU74" s="807"/>
      <c r="BV74" s="807"/>
      <c r="BW74" s="807"/>
      <c r="BX74" s="807"/>
      <c r="BY74" s="807"/>
      <c r="BZ74" s="807"/>
      <c r="CA74" s="807"/>
      <c r="CB74" s="807"/>
      <c r="CC74" s="807"/>
      <c r="CD74" s="807"/>
      <c r="CE74" s="807"/>
      <c r="CF74" s="807"/>
      <c r="CG74" s="807"/>
      <c r="CH74" s="807"/>
      <c r="CI74" s="807"/>
      <c r="CJ74" s="807"/>
      <c r="CK74" s="807"/>
      <c r="CL74" s="807"/>
      <c r="CM74" s="807"/>
      <c r="CN74" s="807"/>
      <c r="CO74" s="807"/>
      <c r="CP74" s="807"/>
      <c r="CQ74" s="807"/>
      <c r="CR74" s="807"/>
      <c r="CS74" s="807"/>
      <c r="CT74" s="807"/>
      <c r="CU74" s="807"/>
      <c r="CV74" s="807"/>
      <c r="CW74" s="807"/>
      <c r="CX74" s="807"/>
      <c r="CY74" s="807"/>
      <c r="CZ74" s="807"/>
      <c r="DA74" s="807"/>
      <c r="DB74" s="807"/>
      <c r="DC74" s="807"/>
      <c r="DD74" s="807"/>
      <c r="DE74" s="807"/>
      <c r="DF74" s="807"/>
      <c r="DG74" s="807"/>
      <c r="DH74" s="807"/>
      <c r="DI74" s="807"/>
      <c r="DJ74" s="807"/>
      <c r="DK74" s="807"/>
      <c r="DL74" s="807"/>
      <c r="DM74" s="807"/>
      <c r="DN74" s="807"/>
      <c r="DO74" s="807"/>
    </row>
    <row r="75" spans="1:119" s="808" customFormat="1" ht="13.5" customHeight="1">
      <c r="A75" s="760"/>
      <c r="B75" s="817" t="s">
        <v>48</v>
      </c>
      <c r="C75" s="818"/>
      <c r="D75" s="829">
        <f>D96</f>
        <v>0</v>
      </c>
      <c r="E75" s="829"/>
      <c r="F75" s="829"/>
      <c r="G75" s="829"/>
      <c r="H75" s="829"/>
      <c r="I75" s="829"/>
      <c r="J75" s="829"/>
      <c r="K75" s="829">
        <f t="shared" ref="K75:P75" si="63">K96</f>
        <v>0</v>
      </c>
      <c r="L75" s="829">
        <f t="shared" si="63"/>
        <v>0</v>
      </c>
      <c r="M75" s="829">
        <f>M96</f>
        <v>0</v>
      </c>
      <c r="N75" s="829">
        <f>N96</f>
        <v>0</v>
      </c>
      <c r="O75" s="829">
        <f t="shared" si="63"/>
        <v>0</v>
      </c>
      <c r="P75" s="829">
        <f t="shared" si="63"/>
        <v>0</v>
      </c>
      <c r="Q75" s="829">
        <v>0</v>
      </c>
      <c r="R75" s="818">
        <v>0</v>
      </c>
      <c r="S75" s="818">
        <v>0</v>
      </c>
      <c r="T75" s="818">
        <v>0</v>
      </c>
      <c r="U75" s="818">
        <v>0</v>
      </c>
      <c r="V75" s="818">
        <v>0</v>
      </c>
      <c r="W75" s="818">
        <v>0</v>
      </c>
      <c r="X75" s="1573" t="s">
        <v>77</v>
      </c>
      <c r="Y75" s="828"/>
      <c r="Z75" s="807"/>
      <c r="AA75" s="807"/>
      <c r="AB75" s="807"/>
      <c r="AC75" s="807"/>
      <c r="AD75" s="807"/>
      <c r="AE75" s="807"/>
      <c r="AF75" s="807"/>
      <c r="AG75" s="807"/>
      <c r="AH75" s="807"/>
      <c r="AI75" s="807"/>
      <c r="AJ75" s="807"/>
      <c r="AK75" s="807"/>
      <c r="AL75" s="807"/>
      <c r="AM75" s="807"/>
      <c r="AN75" s="807"/>
      <c r="AO75" s="807"/>
      <c r="AP75" s="807"/>
      <c r="AQ75" s="807"/>
      <c r="AR75" s="807"/>
      <c r="AS75" s="807"/>
      <c r="AT75" s="807"/>
      <c r="AU75" s="807"/>
      <c r="AV75" s="807"/>
      <c r="AW75" s="807"/>
      <c r="AX75" s="807"/>
      <c r="AY75" s="807"/>
      <c r="AZ75" s="807"/>
      <c r="BA75" s="807"/>
      <c r="BB75" s="807"/>
      <c r="BC75" s="807"/>
      <c r="BD75" s="807"/>
      <c r="BE75" s="807"/>
      <c r="BF75" s="807"/>
      <c r="BG75" s="807"/>
      <c r="BH75" s="807"/>
      <c r="BI75" s="807"/>
      <c r="BJ75" s="807"/>
      <c r="BK75" s="807"/>
      <c r="BL75" s="807"/>
      <c r="BM75" s="807"/>
      <c r="BN75" s="807"/>
      <c r="BO75" s="807"/>
      <c r="BP75" s="807"/>
      <c r="BQ75" s="807"/>
      <c r="BR75" s="807"/>
      <c r="BS75" s="807"/>
      <c r="BT75" s="807"/>
      <c r="BU75" s="807"/>
      <c r="BV75" s="807"/>
      <c r="BW75" s="807"/>
      <c r="BX75" s="807"/>
      <c r="BY75" s="807"/>
      <c r="BZ75" s="807"/>
      <c r="CA75" s="807"/>
      <c r="CB75" s="807"/>
      <c r="CC75" s="807"/>
      <c r="CD75" s="807"/>
      <c r="CE75" s="807"/>
      <c r="CF75" s="807"/>
      <c r="CG75" s="807"/>
      <c r="CH75" s="807"/>
      <c r="CI75" s="807"/>
      <c r="CJ75" s="807"/>
      <c r="CK75" s="807"/>
      <c r="CL75" s="807"/>
      <c r="CM75" s="807"/>
      <c r="CN75" s="807"/>
      <c r="CO75" s="807"/>
      <c r="CP75" s="807"/>
      <c r="CQ75" s="807"/>
      <c r="CR75" s="807"/>
      <c r="CS75" s="807"/>
      <c r="CT75" s="807"/>
      <c r="CU75" s="807"/>
      <c r="CV75" s="807"/>
      <c r="CW75" s="807"/>
      <c r="CX75" s="807"/>
      <c r="CY75" s="807"/>
      <c r="CZ75" s="807"/>
      <c r="DA75" s="807"/>
      <c r="DB75" s="807"/>
      <c r="DC75" s="807"/>
      <c r="DD75" s="807"/>
      <c r="DE75" s="807"/>
      <c r="DF75" s="807"/>
      <c r="DG75" s="807"/>
      <c r="DH75" s="807"/>
      <c r="DI75" s="807"/>
      <c r="DJ75" s="807"/>
      <c r="DK75" s="807"/>
      <c r="DL75" s="807"/>
      <c r="DM75" s="807"/>
      <c r="DN75" s="807"/>
      <c r="DO75" s="807"/>
    </row>
    <row r="76" spans="1:119" s="808" customFormat="1" ht="13.5" customHeight="1">
      <c r="A76" s="760"/>
      <c r="B76" s="524" t="s">
        <v>34</v>
      </c>
      <c r="C76" s="545"/>
      <c r="D76" s="486">
        <f>D77+D80</f>
        <v>0</v>
      </c>
      <c r="E76" s="830"/>
      <c r="F76" s="830"/>
      <c r="G76" s="830"/>
      <c r="H76" s="830"/>
      <c r="I76" s="830"/>
      <c r="J76" s="830"/>
      <c r="K76" s="486">
        <f t="shared" ref="K76:W76" si="64">K77+K80</f>
        <v>0</v>
      </c>
      <c r="L76" s="486">
        <f t="shared" si="64"/>
        <v>0</v>
      </c>
      <c r="M76" s="486">
        <f t="shared" si="64"/>
        <v>0</v>
      </c>
      <c r="N76" s="486">
        <f t="shared" si="64"/>
        <v>0</v>
      </c>
      <c r="O76" s="486">
        <f t="shared" si="64"/>
        <v>0</v>
      </c>
      <c r="P76" s="486">
        <f t="shared" si="64"/>
        <v>0</v>
      </c>
      <c r="Q76" s="486">
        <f t="shared" si="64"/>
        <v>0</v>
      </c>
      <c r="R76" s="486">
        <f t="shared" si="64"/>
        <v>0</v>
      </c>
      <c r="S76" s="486">
        <f t="shared" si="64"/>
        <v>0</v>
      </c>
      <c r="T76" s="486">
        <f t="shared" si="64"/>
        <v>0</v>
      </c>
      <c r="U76" s="486">
        <f t="shared" si="64"/>
        <v>0</v>
      </c>
      <c r="V76" s="486">
        <f t="shared" si="64"/>
        <v>0</v>
      </c>
      <c r="W76" s="486">
        <f t="shared" si="64"/>
        <v>0</v>
      </c>
      <c r="X76" s="842"/>
      <c r="Y76" s="828"/>
      <c r="Z76" s="807"/>
      <c r="AA76" s="807"/>
      <c r="AB76" s="807"/>
      <c r="AC76" s="807"/>
      <c r="AD76" s="807"/>
      <c r="AE76" s="807"/>
      <c r="AF76" s="807"/>
      <c r="AG76" s="807"/>
      <c r="AH76" s="807"/>
      <c r="AI76" s="807"/>
      <c r="AJ76" s="807"/>
      <c r="AK76" s="807"/>
      <c r="AL76" s="807"/>
      <c r="AM76" s="807"/>
      <c r="AN76" s="807"/>
      <c r="AO76" s="807"/>
      <c r="AP76" s="807"/>
      <c r="AQ76" s="807"/>
      <c r="AR76" s="807"/>
      <c r="AS76" s="807"/>
      <c r="AT76" s="807"/>
      <c r="AU76" s="807"/>
      <c r="AV76" s="807"/>
      <c r="AW76" s="807"/>
      <c r="AX76" s="807"/>
      <c r="AY76" s="807"/>
      <c r="AZ76" s="807"/>
      <c r="BA76" s="807"/>
      <c r="BB76" s="807"/>
      <c r="BC76" s="807"/>
      <c r="BD76" s="807"/>
      <c r="BE76" s="807"/>
      <c r="BF76" s="807"/>
      <c r="BG76" s="807"/>
      <c r="BH76" s="807"/>
      <c r="BI76" s="807"/>
      <c r="BJ76" s="807"/>
      <c r="BK76" s="807"/>
      <c r="BL76" s="807"/>
      <c r="BM76" s="807"/>
      <c r="BN76" s="807"/>
      <c r="BO76" s="807"/>
      <c r="BP76" s="807"/>
      <c r="BQ76" s="807"/>
      <c r="BR76" s="807"/>
      <c r="BS76" s="807"/>
      <c r="BT76" s="807"/>
      <c r="BU76" s="807"/>
      <c r="BV76" s="807"/>
      <c r="BW76" s="807"/>
      <c r="BX76" s="807"/>
      <c r="BY76" s="807"/>
      <c r="BZ76" s="807"/>
      <c r="CA76" s="807"/>
      <c r="CB76" s="807"/>
      <c r="CC76" s="807"/>
      <c r="CD76" s="807"/>
      <c r="CE76" s="807"/>
      <c r="CF76" s="807"/>
      <c r="CG76" s="807"/>
      <c r="CH76" s="807"/>
      <c r="CI76" s="807"/>
      <c r="CJ76" s="807"/>
      <c r="CK76" s="807"/>
      <c r="CL76" s="807"/>
      <c r="CM76" s="807"/>
      <c r="CN76" s="807"/>
      <c r="CO76" s="807"/>
      <c r="CP76" s="807"/>
      <c r="CQ76" s="807"/>
      <c r="CR76" s="807"/>
      <c r="CS76" s="807"/>
      <c r="CT76" s="807"/>
      <c r="CU76" s="807"/>
      <c r="CV76" s="807"/>
      <c r="CW76" s="807"/>
      <c r="CX76" s="807"/>
      <c r="CY76" s="807"/>
      <c r="CZ76" s="807"/>
      <c r="DA76" s="807"/>
      <c r="DB76" s="807"/>
      <c r="DC76" s="807"/>
      <c r="DD76" s="807"/>
      <c r="DE76" s="807"/>
      <c r="DF76" s="807"/>
      <c r="DG76" s="807"/>
      <c r="DH76" s="807"/>
      <c r="DI76" s="807"/>
      <c r="DJ76" s="807"/>
      <c r="DK76" s="807"/>
      <c r="DL76" s="807"/>
      <c r="DM76" s="807"/>
      <c r="DN76" s="807"/>
      <c r="DO76" s="807"/>
    </row>
    <row r="77" spans="1:119" s="808" customFormat="1" ht="13.5" customHeight="1">
      <c r="A77" s="760"/>
      <c r="B77" s="831" t="s">
        <v>36</v>
      </c>
      <c r="C77" s="832"/>
      <c r="D77" s="1298">
        <f>+D78+D79</f>
        <v>0</v>
      </c>
      <c r="E77" s="1298">
        <f t="shared" ref="E77:T77" si="65">+E78+E79</f>
        <v>0</v>
      </c>
      <c r="F77" s="1298">
        <f t="shared" si="65"/>
        <v>0</v>
      </c>
      <c r="G77" s="1298">
        <f t="shared" si="65"/>
        <v>0</v>
      </c>
      <c r="H77" s="1298">
        <f t="shared" si="65"/>
        <v>0</v>
      </c>
      <c r="I77" s="1298">
        <f t="shared" si="65"/>
        <v>0</v>
      </c>
      <c r="J77" s="1298">
        <f t="shared" si="65"/>
        <v>0</v>
      </c>
      <c r="K77" s="1298">
        <f t="shared" si="65"/>
        <v>0</v>
      </c>
      <c r="L77" s="1298">
        <f t="shared" si="65"/>
        <v>0</v>
      </c>
      <c r="M77" s="1298">
        <f t="shared" si="65"/>
        <v>0</v>
      </c>
      <c r="N77" s="1298">
        <f t="shared" si="65"/>
        <v>0</v>
      </c>
      <c r="O77" s="1298">
        <f t="shared" si="65"/>
        <v>0</v>
      </c>
      <c r="P77" s="821">
        <f t="shared" si="65"/>
        <v>0</v>
      </c>
      <c r="Q77" s="821">
        <f t="shared" si="65"/>
        <v>0</v>
      </c>
      <c r="R77" s="821">
        <f t="shared" si="65"/>
        <v>0</v>
      </c>
      <c r="S77" s="821">
        <f t="shared" si="65"/>
        <v>0</v>
      </c>
      <c r="T77" s="821">
        <f t="shared" si="65"/>
        <v>0</v>
      </c>
      <c r="U77" s="821">
        <v>0</v>
      </c>
      <c r="V77" s="821">
        <v>0</v>
      </c>
      <c r="W77" s="821">
        <v>0</v>
      </c>
      <c r="X77" s="4378" t="s">
        <v>77</v>
      </c>
      <c r="Y77" s="828"/>
      <c r="Z77" s="807"/>
      <c r="AA77" s="807"/>
      <c r="AB77" s="807"/>
      <c r="AC77" s="807"/>
      <c r="AD77" s="807"/>
      <c r="AE77" s="807"/>
      <c r="AF77" s="807"/>
      <c r="AG77" s="807"/>
      <c r="AH77" s="807"/>
      <c r="AI77" s="807"/>
      <c r="AJ77" s="807"/>
      <c r="AK77" s="807"/>
      <c r="AL77" s="807"/>
      <c r="AM77" s="807"/>
      <c r="AN77" s="807"/>
      <c r="AO77" s="807"/>
      <c r="AP77" s="807"/>
      <c r="AQ77" s="807"/>
      <c r="AR77" s="807"/>
      <c r="AS77" s="807"/>
      <c r="AT77" s="807"/>
      <c r="AU77" s="807"/>
      <c r="AV77" s="807"/>
      <c r="AW77" s="807"/>
      <c r="AX77" s="807"/>
      <c r="AY77" s="807"/>
      <c r="AZ77" s="807"/>
      <c r="BA77" s="807"/>
      <c r="BB77" s="807"/>
      <c r="BC77" s="807"/>
      <c r="BD77" s="807"/>
      <c r="BE77" s="807"/>
      <c r="BF77" s="807"/>
      <c r="BG77" s="807"/>
      <c r="BH77" s="807"/>
      <c r="BI77" s="807"/>
      <c r="BJ77" s="807"/>
      <c r="BK77" s="807"/>
      <c r="BL77" s="807"/>
      <c r="BM77" s="807"/>
      <c r="BN77" s="807"/>
      <c r="BO77" s="807"/>
      <c r="BP77" s="807"/>
      <c r="BQ77" s="807"/>
      <c r="BR77" s="807"/>
      <c r="BS77" s="807"/>
      <c r="BT77" s="807"/>
      <c r="BU77" s="807"/>
      <c r="BV77" s="807"/>
      <c r="BW77" s="807"/>
      <c r="BX77" s="807"/>
      <c r="BY77" s="807"/>
      <c r="BZ77" s="807"/>
      <c r="CA77" s="807"/>
      <c r="CB77" s="807"/>
      <c r="CC77" s="807"/>
      <c r="CD77" s="807"/>
      <c r="CE77" s="807"/>
      <c r="CF77" s="807"/>
      <c r="CG77" s="807"/>
      <c r="CH77" s="807"/>
      <c r="CI77" s="807"/>
      <c r="CJ77" s="807"/>
      <c r="CK77" s="807"/>
      <c r="CL77" s="807"/>
      <c r="CM77" s="807"/>
      <c r="CN77" s="807"/>
      <c r="CO77" s="807"/>
      <c r="CP77" s="807"/>
      <c r="CQ77" s="807"/>
      <c r="CR77" s="807"/>
      <c r="CS77" s="807"/>
      <c r="CT77" s="807"/>
      <c r="CU77" s="807"/>
      <c r="CV77" s="807"/>
      <c r="CW77" s="807"/>
      <c r="CX77" s="807"/>
      <c r="CY77" s="807"/>
      <c r="CZ77" s="807"/>
      <c r="DA77" s="807"/>
      <c r="DB77" s="807"/>
      <c r="DC77" s="807"/>
      <c r="DD77" s="807"/>
      <c r="DE77" s="807"/>
      <c r="DF77" s="807"/>
      <c r="DG77" s="807"/>
      <c r="DH77" s="807"/>
      <c r="DI77" s="807"/>
      <c r="DJ77" s="807"/>
      <c r="DK77" s="807"/>
      <c r="DL77" s="807"/>
      <c r="DM77" s="807"/>
      <c r="DN77" s="807"/>
      <c r="DO77" s="807"/>
    </row>
    <row r="78" spans="1:119" s="808" customFormat="1" ht="13.5" customHeight="1">
      <c r="A78" s="760"/>
      <c r="B78" s="820" t="s">
        <v>200</v>
      </c>
      <c r="C78" s="821"/>
      <c r="D78" s="821">
        <f>+D99</f>
        <v>0</v>
      </c>
      <c r="E78" s="821">
        <f t="shared" ref="E78:Q79" si="66">+E99</f>
        <v>0</v>
      </c>
      <c r="F78" s="821">
        <f t="shared" si="66"/>
        <v>0</v>
      </c>
      <c r="G78" s="821">
        <f t="shared" si="66"/>
        <v>0</v>
      </c>
      <c r="H78" s="821">
        <f t="shared" si="66"/>
        <v>0</v>
      </c>
      <c r="I78" s="821">
        <f t="shared" si="66"/>
        <v>0</v>
      </c>
      <c r="J78" s="821">
        <f t="shared" si="66"/>
        <v>0</v>
      </c>
      <c r="K78" s="821">
        <f t="shared" si="66"/>
        <v>0</v>
      </c>
      <c r="L78" s="821">
        <f t="shared" si="66"/>
        <v>0</v>
      </c>
      <c r="M78" s="821">
        <f t="shared" si="66"/>
        <v>0</v>
      </c>
      <c r="N78" s="821">
        <f t="shared" si="66"/>
        <v>0</v>
      </c>
      <c r="O78" s="821">
        <f t="shared" si="66"/>
        <v>0</v>
      </c>
      <c r="P78" s="821">
        <f t="shared" si="66"/>
        <v>0</v>
      </c>
      <c r="Q78" s="821">
        <f t="shared" si="66"/>
        <v>0</v>
      </c>
      <c r="R78" s="821">
        <v>0</v>
      </c>
      <c r="S78" s="821">
        <v>0</v>
      </c>
      <c r="T78" s="821">
        <v>0</v>
      </c>
      <c r="U78" s="821">
        <v>0</v>
      </c>
      <c r="V78" s="821">
        <v>0</v>
      </c>
      <c r="W78" s="821">
        <v>0</v>
      </c>
      <c r="X78" s="4379"/>
      <c r="Y78" s="828"/>
      <c r="Z78" s="807"/>
      <c r="AA78" s="807"/>
      <c r="AB78" s="807"/>
      <c r="AC78" s="807"/>
      <c r="AD78" s="807"/>
      <c r="AE78" s="807"/>
      <c r="AF78" s="807"/>
      <c r="AG78" s="807"/>
      <c r="AH78" s="807"/>
      <c r="AI78" s="807"/>
      <c r="AJ78" s="807"/>
      <c r="AK78" s="807"/>
      <c r="AL78" s="807"/>
      <c r="AM78" s="807"/>
      <c r="AN78" s="807"/>
      <c r="AO78" s="807"/>
      <c r="AP78" s="807"/>
      <c r="AQ78" s="807"/>
      <c r="AR78" s="807"/>
      <c r="AS78" s="807"/>
      <c r="AT78" s="807"/>
      <c r="AU78" s="807"/>
      <c r="AV78" s="807"/>
      <c r="AW78" s="807"/>
      <c r="AX78" s="807"/>
      <c r="AY78" s="807"/>
      <c r="AZ78" s="807"/>
      <c r="BA78" s="807"/>
      <c r="BB78" s="807"/>
      <c r="BC78" s="807"/>
      <c r="BD78" s="807"/>
      <c r="BE78" s="807"/>
      <c r="BF78" s="807"/>
      <c r="BG78" s="807"/>
      <c r="BH78" s="807"/>
      <c r="BI78" s="807"/>
      <c r="BJ78" s="807"/>
      <c r="BK78" s="807"/>
      <c r="BL78" s="807"/>
      <c r="BM78" s="807"/>
      <c r="BN78" s="807"/>
      <c r="BO78" s="807"/>
      <c r="BP78" s="807"/>
      <c r="BQ78" s="807"/>
      <c r="BR78" s="807"/>
      <c r="BS78" s="807"/>
      <c r="BT78" s="807"/>
      <c r="BU78" s="807"/>
      <c r="BV78" s="807"/>
      <c r="BW78" s="807"/>
      <c r="BX78" s="807"/>
      <c r="BY78" s="807"/>
      <c r="BZ78" s="807"/>
      <c r="CA78" s="807"/>
      <c r="CB78" s="807"/>
      <c r="CC78" s="807"/>
      <c r="CD78" s="807"/>
      <c r="CE78" s="807"/>
      <c r="CF78" s="807"/>
      <c r="CG78" s="807"/>
      <c r="CH78" s="807"/>
      <c r="CI78" s="807"/>
      <c r="CJ78" s="807"/>
      <c r="CK78" s="807"/>
      <c r="CL78" s="807"/>
      <c r="CM78" s="807"/>
      <c r="CN78" s="807"/>
      <c r="CO78" s="807"/>
      <c r="CP78" s="807"/>
      <c r="CQ78" s="807"/>
      <c r="CR78" s="807"/>
      <c r="CS78" s="807"/>
      <c r="CT78" s="807"/>
      <c r="CU78" s="807"/>
      <c r="CV78" s="807"/>
      <c r="CW78" s="807"/>
      <c r="CX78" s="807"/>
      <c r="CY78" s="807"/>
      <c r="CZ78" s="807"/>
      <c r="DA78" s="807"/>
      <c r="DB78" s="807"/>
      <c r="DC78" s="807"/>
      <c r="DD78" s="807"/>
      <c r="DE78" s="807"/>
      <c r="DF78" s="807"/>
      <c r="DG78" s="807"/>
      <c r="DH78" s="807"/>
      <c r="DI78" s="807"/>
      <c r="DJ78" s="807"/>
      <c r="DK78" s="807"/>
      <c r="DL78" s="807"/>
      <c r="DM78" s="807"/>
      <c r="DN78" s="807"/>
      <c r="DO78" s="807"/>
    </row>
    <row r="79" spans="1:119" s="808" customFormat="1" ht="13.5" hidden="1" customHeight="1">
      <c r="A79" s="760"/>
      <c r="B79" s="820" t="s">
        <v>202</v>
      </c>
      <c r="C79" s="821"/>
      <c r="D79" s="821">
        <f>+D100</f>
        <v>0</v>
      </c>
      <c r="E79" s="821">
        <f t="shared" si="66"/>
        <v>0</v>
      </c>
      <c r="F79" s="821">
        <f t="shared" si="66"/>
        <v>0</v>
      </c>
      <c r="G79" s="821">
        <f t="shared" si="66"/>
        <v>0</v>
      </c>
      <c r="H79" s="821">
        <f t="shared" si="66"/>
        <v>0</v>
      </c>
      <c r="I79" s="821">
        <f t="shared" si="66"/>
        <v>0</v>
      </c>
      <c r="J79" s="821">
        <f t="shared" si="66"/>
        <v>0</v>
      </c>
      <c r="K79" s="821">
        <f t="shared" si="66"/>
        <v>0</v>
      </c>
      <c r="L79" s="821">
        <f t="shared" si="66"/>
        <v>0</v>
      </c>
      <c r="M79" s="821">
        <f t="shared" si="66"/>
        <v>0</v>
      </c>
      <c r="N79" s="821">
        <f t="shared" si="66"/>
        <v>0</v>
      </c>
      <c r="O79" s="821">
        <f t="shared" si="66"/>
        <v>0</v>
      </c>
      <c r="P79" s="821">
        <f t="shared" si="66"/>
        <v>0</v>
      </c>
      <c r="Q79" s="821">
        <f t="shared" si="66"/>
        <v>0</v>
      </c>
      <c r="R79" s="821">
        <v>0</v>
      </c>
      <c r="S79" s="821">
        <v>0</v>
      </c>
      <c r="T79" s="821">
        <v>0</v>
      </c>
      <c r="U79" s="821"/>
      <c r="V79" s="821"/>
      <c r="W79" s="821"/>
      <c r="X79" s="4379"/>
      <c r="Y79" s="828"/>
      <c r="Z79" s="807"/>
      <c r="AA79" s="807"/>
      <c r="AB79" s="807"/>
      <c r="AC79" s="807"/>
      <c r="AD79" s="807"/>
      <c r="AE79" s="807"/>
      <c r="AF79" s="807"/>
      <c r="AG79" s="807"/>
      <c r="AH79" s="807"/>
      <c r="AI79" s="807"/>
      <c r="AJ79" s="807"/>
      <c r="AK79" s="807"/>
      <c r="AL79" s="807"/>
      <c r="AM79" s="807"/>
      <c r="AN79" s="807"/>
      <c r="AO79" s="807"/>
      <c r="AP79" s="807"/>
      <c r="AQ79" s="807"/>
      <c r="AR79" s="807"/>
      <c r="AS79" s="807"/>
      <c r="AT79" s="807"/>
      <c r="AU79" s="807"/>
      <c r="AV79" s="807"/>
      <c r="AW79" s="807"/>
      <c r="AX79" s="807"/>
      <c r="AY79" s="807"/>
      <c r="AZ79" s="807"/>
      <c r="BA79" s="807"/>
      <c r="BB79" s="807"/>
      <c r="BC79" s="807"/>
      <c r="BD79" s="807"/>
      <c r="BE79" s="807"/>
      <c r="BF79" s="807"/>
      <c r="BG79" s="807"/>
      <c r="BH79" s="807"/>
      <c r="BI79" s="807"/>
      <c r="BJ79" s="807"/>
      <c r="BK79" s="807"/>
      <c r="BL79" s="807"/>
      <c r="BM79" s="807"/>
      <c r="BN79" s="807"/>
      <c r="BO79" s="807"/>
      <c r="BP79" s="807"/>
      <c r="BQ79" s="807"/>
      <c r="BR79" s="807"/>
      <c r="BS79" s="807"/>
      <c r="BT79" s="807"/>
      <c r="BU79" s="807"/>
      <c r="BV79" s="807"/>
      <c r="BW79" s="807"/>
      <c r="BX79" s="807"/>
      <c r="BY79" s="807"/>
      <c r="BZ79" s="807"/>
      <c r="CA79" s="807"/>
      <c r="CB79" s="807"/>
      <c r="CC79" s="807"/>
      <c r="CD79" s="807"/>
      <c r="CE79" s="807"/>
      <c r="CF79" s="807"/>
      <c r="CG79" s="807"/>
      <c r="CH79" s="807"/>
      <c r="CI79" s="807"/>
      <c r="CJ79" s="807"/>
      <c r="CK79" s="807"/>
      <c r="CL79" s="807"/>
      <c r="CM79" s="807"/>
      <c r="CN79" s="807"/>
      <c r="CO79" s="807"/>
      <c r="CP79" s="807"/>
      <c r="CQ79" s="807"/>
      <c r="CR79" s="807"/>
      <c r="CS79" s="807"/>
      <c r="CT79" s="807"/>
      <c r="CU79" s="807"/>
      <c r="CV79" s="807"/>
      <c r="CW79" s="807"/>
      <c r="CX79" s="807"/>
      <c r="CY79" s="807"/>
      <c r="CZ79" s="807"/>
      <c r="DA79" s="807"/>
      <c r="DB79" s="807"/>
      <c r="DC79" s="807"/>
      <c r="DD79" s="807"/>
      <c r="DE79" s="807"/>
      <c r="DF79" s="807"/>
      <c r="DG79" s="807"/>
      <c r="DH79" s="807"/>
      <c r="DI79" s="807"/>
      <c r="DJ79" s="807"/>
      <c r="DK79" s="807"/>
      <c r="DL79" s="807"/>
      <c r="DM79" s="807"/>
      <c r="DN79" s="807"/>
      <c r="DO79" s="807"/>
    </row>
    <row r="80" spans="1:119" s="1175" customFormat="1" ht="13.5" customHeight="1">
      <c r="A80" s="1171"/>
      <c r="B80" s="831" t="s">
        <v>30</v>
      </c>
      <c r="C80" s="1172"/>
      <c r="D80" s="1172">
        <f>+D81</f>
        <v>0</v>
      </c>
      <c r="E80" s="1172">
        <f t="shared" ref="E80:W80" si="67">+E81</f>
        <v>0</v>
      </c>
      <c r="F80" s="1172">
        <f t="shared" si="67"/>
        <v>0</v>
      </c>
      <c r="G80" s="1172">
        <f t="shared" si="67"/>
        <v>0</v>
      </c>
      <c r="H80" s="1172">
        <f t="shared" si="67"/>
        <v>0</v>
      </c>
      <c r="I80" s="1172">
        <f t="shared" si="67"/>
        <v>0</v>
      </c>
      <c r="J80" s="1172">
        <f t="shared" si="67"/>
        <v>0</v>
      </c>
      <c r="K80" s="1172">
        <f t="shared" si="67"/>
        <v>0</v>
      </c>
      <c r="L80" s="1172">
        <f t="shared" si="67"/>
        <v>0</v>
      </c>
      <c r="M80" s="1172">
        <f t="shared" si="67"/>
        <v>0</v>
      </c>
      <c r="N80" s="1172">
        <f t="shared" si="67"/>
        <v>0</v>
      </c>
      <c r="O80" s="1172">
        <f t="shared" si="67"/>
        <v>0</v>
      </c>
      <c r="P80" s="1172">
        <f t="shared" si="67"/>
        <v>0</v>
      </c>
      <c r="Q80" s="1172">
        <f t="shared" si="67"/>
        <v>0</v>
      </c>
      <c r="R80" s="1172">
        <f t="shared" si="67"/>
        <v>0</v>
      </c>
      <c r="S80" s="1172">
        <f t="shared" si="67"/>
        <v>0</v>
      </c>
      <c r="T80" s="1172">
        <f t="shared" si="67"/>
        <v>0</v>
      </c>
      <c r="U80" s="1172">
        <f t="shared" si="67"/>
        <v>0</v>
      </c>
      <c r="V80" s="1172">
        <f t="shared" si="67"/>
        <v>0</v>
      </c>
      <c r="W80" s="1172">
        <f t="shared" si="67"/>
        <v>0</v>
      </c>
      <c r="X80" s="4379"/>
      <c r="Y80" s="1173"/>
      <c r="Z80" s="1174"/>
      <c r="AA80" s="1174"/>
      <c r="AB80" s="1174"/>
      <c r="AC80" s="1174"/>
      <c r="AD80" s="1174"/>
      <c r="AE80" s="1174"/>
      <c r="AF80" s="1174"/>
      <c r="AG80" s="1174"/>
      <c r="AH80" s="1174"/>
      <c r="AI80" s="1174"/>
      <c r="AJ80" s="1174"/>
      <c r="AK80" s="1174"/>
      <c r="AL80" s="1174"/>
      <c r="AM80" s="1174"/>
      <c r="AN80" s="1174"/>
      <c r="AO80" s="1174"/>
      <c r="AP80" s="1174"/>
      <c r="AQ80" s="1174"/>
      <c r="AR80" s="1174"/>
      <c r="AS80" s="1174"/>
      <c r="AT80" s="1174"/>
      <c r="AU80" s="1174"/>
      <c r="AV80" s="1174"/>
      <c r="AW80" s="1174"/>
      <c r="AX80" s="1174"/>
      <c r="AY80" s="1174"/>
      <c r="AZ80" s="1174"/>
      <c r="BA80" s="1174"/>
      <c r="BB80" s="1174"/>
      <c r="BC80" s="1174"/>
      <c r="BD80" s="1174"/>
      <c r="BE80" s="1174"/>
      <c r="BF80" s="1174"/>
      <c r="BG80" s="1174"/>
      <c r="BH80" s="1174"/>
      <c r="BI80" s="1174"/>
      <c r="BJ80" s="1174"/>
      <c r="BK80" s="1174"/>
      <c r="BL80" s="1174"/>
      <c r="BM80" s="1174"/>
      <c r="BN80" s="1174"/>
      <c r="BO80" s="1174"/>
      <c r="BP80" s="1174"/>
      <c r="BQ80" s="1174"/>
      <c r="BR80" s="1174"/>
      <c r="BS80" s="1174"/>
      <c r="BT80" s="1174"/>
      <c r="BU80" s="1174"/>
      <c r="BV80" s="1174"/>
      <c r="BW80" s="1174"/>
      <c r="BX80" s="1174"/>
      <c r="BY80" s="1174"/>
      <c r="BZ80" s="1174"/>
      <c r="CA80" s="1174"/>
      <c r="CB80" s="1174"/>
      <c r="CC80" s="1174"/>
      <c r="CD80" s="1174"/>
      <c r="CE80" s="1174"/>
      <c r="CF80" s="1174"/>
      <c r="CG80" s="1174"/>
      <c r="CH80" s="1174"/>
      <c r="CI80" s="1174"/>
      <c r="CJ80" s="1174"/>
      <c r="CK80" s="1174"/>
      <c r="CL80" s="1174"/>
      <c r="CM80" s="1174"/>
      <c r="CN80" s="1174"/>
      <c r="CO80" s="1174"/>
      <c r="CP80" s="1174"/>
      <c r="CQ80" s="1174"/>
      <c r="CR80" s="1174"/>
      <c r="CS80" s="1174"/>
      <c r="CT80" s="1174"/>
      <c r="CU80" s="1174"/>
      <c r="CV80" s="1174"/>
      <c r="CW80" s="1174"/>
      <c r="CX80" s="1174"/>
      <c r="CY80" s="1174"/>
      <c r="CZ80" s="1174"/>
      <c r="DA80" s="1174"/>
      <c r="DB80" s="1174"/>
      <c r="DC80" s="1174"/>
      <c r="DD80" s="1174"/>
      <c r="DE80" s="1174"/>
      <c r="DF80" s="1174"/>
      <c r="DG80" s="1174"/>
      <c r="DH80" s="1174"/>
      <c r="DI80" s="1174"/>
      <c r="DJ80" s="1174"/>
      <c r="DK80" s="1174"/>
      <c r="DL80" s="1174"/>
      <c r="DM80" s="1174"/>
      <c r="DN80" s="1174"/>
      <c r="DO80" s="1174"/>
    </row>
    <row r="81" spans="1:119" s="808" customFormat="1" ht="13.5" customHeight="1" thickBot="1">
      <c r="A81" s="760"/>
      <c r="B81" s="820" t="s">
        <v>48</v>
      </c>
      <c r="C81" s="821"/>
      <c r="D81" s="821">
        <f>+D102</f>
        <v>0</v>
      </c>
      <c r="E81" s="821">
        <f t="shared" ref="E81:Q81" si="68">+E102</f>
        <v>0</v>
      </c>
      <c r="F81" s="821">
        <f t="shared" si="68"/>
        <v>0</v>
      </c>
      <c r="G81" s="821">
        <f t="shared" si="68"/>
        <v>0</v>
      </c>
      <c r="H81" s="821">
        <f t="shared" si="68"/>
        <v>0</v>
      </c>
      <c r="I81" s="821">
        <f t="shared" si="68"/>
        <v>0</v>
      </c>
      <c r="J81" s="821">
        <f t="shared" si="68"/>
        <v>0</v>
      </c>
      <c r="K81" s="821">
        <f t="shared" si="68"/>
        <v>0</v>
      </c>
      <c r="L81" s="821">
        <f t="shared" si="68"/>
        <v>0</v>
      </c>
      <c r="M81" s="821">
        <f t="shared" si="68"/>
        <v>0</v>
      </c>
      <c r="N81" s="821">
        <f t="shared" si="68"/>
        <v>0</v>
      </c>
      <c r="O81" s="821">
        <f t="shared" si="68"/>
        <v>0</v>
      </c>
      <c r="P81" s="821">
        <f t="shared" si="68"/>
        <v>0</v>
      </c>
      <c r="Q81" s="821">
        <f t="shared" si="68"/>
        <v>0</v>
      </c>
      <c r="R81" s="821">
        <v>0</v>
      </c>
      <c r="S81" s="821">
        <v>0</v>
      </c>
      <c r="T81" s="821">
        <v>0</v>
      </c>
      <c r="U81" s="821">
        <v>0</v>
      </c>
      <c r="V81" s="821">
        <v>0</v>
      </c>
      <c r="W81" s="821">
        <v>0</v>
      </c>
      <c r="X81" s="4380"/>
      <c r="Y81" s="828"/>
      <c r="Z81" s="807"/>
      <c r="AA81" s="807"/>
      <c r="AB81" s="807"/>
      <c r="AC81" s="807"/>
      <c r="AD81" s="807"/>
      <c r="AE81" s="807"/>
      <c r="AF81" s="807"/>
      <c r="AG81" s="807"/>
      <c r="AH81" s="807"/>
      <c r="AI81" s="807"/>
      <c r="AJ81" s="807"/>
      <c r="AK81" s="807"/>
      <c r="AL81" s="807"/>
      <c r="AM81" s="807"/>
      <c r="AN81" s="807"/>
      <c r="AO81" s="807"/>
      <c r="AP81" s="807"/>
      <c r="AQ81" s="807"/>
      <c r="AR81" s="807"/>
      <c r="AS81" s="807"/>
      <c r="AT81" s="807"/>
      <c r="AU81" s="807"/>
      <c r="AV81" s="807"/>
      <c r="AW81" s="807"/>
      <c r="AX81" s="807"/>
      <c r="AY81" s="807"/>
      <c r="AZ81" s="807"/>
      <c r="BA81" s="807"/>
      <c r="BB81" s="807"/>
      <c r="BC81" s="807"/>
      <c r="BD81" s="807"/>
      <c r="BE81" s="807"/>
      <c r="BF81" s="807"/>
      <c r="BG81" s="807"/>
      <c r="BH81" s="807"/>
      <c r="BI81" s="807"/>
      <c r="BJ81" s="807"/>
      <c r="BK81" s="807"/>
      <c r="BL81" s="807"/>
      <c r="BM81" s="807"/>
      <c r="BN81" s="807"/>
      <c r="BO81" s="807"/>
      <c r="BP81" s="807"/>
      <c r="BQ81" s="807"/>
      <c r="BR81" s="807"/>
      <c r="BS81" s="807"/>
      <c r="BT81" s="807"/>
      <c r="BU81" s="807"/>
      <c r="BV81" s="807"/>
      <c r="BW81" s="807"/>
      <c r="BX81" s="807"/>
      <c r="BY81" s="807"/>
      <c r="BZ81" s="807"/>
      <c r="CA81" s="807"/>
      <c r="CB81" s="807"/>
      <c r="CC81" s="807"/>
      <c r="CD81" s="807"/>
      <c r="CE81" s="807"/>
      <c r="CF81" s="807"/>
      <c r="CG81" s="807"/>
      <c r="CH81" s="807"/>
      <c r="CI81" s="807"/>
      <c r="CJ81" s="807"/>
      <c r="CK81" s="807"/>
      <c r="CL81" s="807"/>
      <c r="CM81" s="807"/>
      <c r="CN81" s="807"/>
      <c r="CO81" s="807"/>
      <c r="CP81" s="807"/>
      <c r="CQ81" s="807"/>
      <c r="CR81" s="807"/>
      <c r="CS81" s="807"/>
      <c r="CT81" s="807"/>
      <c r="CU81" s="807"/>
      <c r="CV81" s="807"/>
      <c r="CW81" s="807"/>
      <c r="CX81" s="807"/>
      <c r="CY81" s="807"/>
      <c r="CZ81" s="807"/>
      <c r="DA81" s="807"/>
      <c r="DB81" s="807"/>
      <c r="DC81" s="807"/>
      <c r="DD81" s="807"/>
      <c r="DE81" s="807"/>
      <c r="DF81" s="807"/>
      <c r="DG81" s="807"/>
      <c r="DH81" s="807"/>
      <c r="DI81" s="807"/>
      <c r="DJ81" s="807"/>
      <c r="DK81" s="807"/>
      <c r="DL81" s="807"/>
      <c r="DM81" s="807"/>
      <c r="DN81" s="807"/>
      <c r="DO81" s="807"/>
    </row>
    <row r="82" spans="1:119" s="808" customFormat="1" ht="39.75" hidden="1" customHeight="1">
      <c r="A82" s="4381" t="s">
        <v>79</v>
      </c>
      <c r="B82" s="833" t="s">
        <v>203</v>
      </c>
      <c r="C82" s="834" t="s">
        <v>98</v>
      </c>
      <c r="D82" s="835"/>
      <c r="E82" s="775"/>
      <c r="F82" s="775"/>
      <c r="G82" s="775"/>
      <c r="H82" s="775"/>
      <c r="I82" s="775"/>
      <c r="J82" s="775"/>
      <c r="K82" s="775"/>
      <c r="L82" s="836"/>
      <c r="M82" s="836"/>
      <c r="N82" s="836"/>
      <c r="O82" s="836"/>
      <c r="P82" s="837"/>
      <c r="Q82" s="837"/>
      <c r="R82" s="837"/>
      <c r="S82" s="837"/>
      <c r="T82" s="837"/>
      <c r="U82" s="837"/>
      <c r="V82" s="837"/>
      <c r="W82" s="837"/>
      <c r="X82" s="838"/>
      <c r="Y82" s="4360" t="s">
        <v>204</v>
      </c>
      <c r="Z82" s="807"/>
      <c r="AA82" s="807"/>
      <c r="AB82" s="807"/>
      <c r="AC82" s="807"/>
      <c r="AD82" s="807"/>
      <c r="AE82" s="807"/>
      <c r="AF82" s="807"/>
      <c r="AG82" s="807"/>
      <c r="AH82" s="807"/>
      <c r="AI82" s="807"/>
      <c r="AJ82" s="807"/>
      <c r="AK82" s="807"/>
      <c r="AL82" s="807"/>
      <c r="AM82" s="807"/>
      <c r="AN82" s="807"/>
      <c r="AO82" s="807"/>
      <c r="AP82" s="807"/>
      <c r="AQ82" s="807"/>
      <c r="AR82" s="807"/>
      <c r="AS82" s="807"/>
      <c r="AT82" s="807"/>
      <c r="AU82" s="807"/>
      <c r="AV82" s="807"/>
      <c r="AW82" s="807"/>
      <c r="AX82" s="807"/>
      <c r="AY82" s="807"/>
      <c r="AZ82" s="807"/>
      <c r="BA82" s="807"/>
      <c r="BB82" s="807"/>
      <c r="BC82" s="807"/>
      <c r="BD82" s="807"/>
      <c r="BE82" s="807"/>
      <c r="BF82" s="807"/>
      <c r="BG82" s="807"/>
      <c r="BH82" s="807"/>
      <c r="BI82" s="807"/>
      <c r="BJ82" s="807"/>
      <c r="BK82" s="807"/>
      <c r="BL82" s="807"/>
      <c r="BM82" s="807"/>
      <c r="BN82" s="807"/>
      <c r="BO82" s="807"/>
      <c r="BP82" s="807"/>
      <c r="BQ82" s="807"/>
      <c r="BR82" s="807"/>
      <c r="BS82" s="807"/>
      <c r="BT82" s="807"/>
      <c r="BU82" s="807"/>
      <c r="BV82" s="807"/>
      <c r="BW82" s="807"/>
      <c r="BX82" s="807"/>
      <c r="BY82" s="807"/>
      <c r="BZ82" s="807"/>
      <c r="CA82" s="807"/>
      <c r="CB82" s="807"/>
      <c r="CC82" s="807"/>
      <c r="CD82" s="807"/>
      <c r="CE82" s="807"/>
      <c r="CF82" s="807"/>
      <c r="CG82" s="807"/>
      <c r="CH82" s="807"/>
      <c r="CI82" s="807"/>
      <c r="CJ82" s="807"/>
      <c r="CK82" s="807"/>
      <c r="CL82" s="807"/>
      <c r="CM82" s="807"/>
      <c r="CN82" s="807"/>
      <c r="CO82" s="807"/>
      <c r="CP82" s="807"/>
      <c r="CQ82" s="807"/>
      <c r="CR82" s="807"/>
      <c r="CS82" s="807"/>
      <c r="CT82" s="807"/>
      <c r="CU82" s="807"/>
      <c r="CV82" s="807"/>
      <c r="CW82" s="807"/>
      <c r="CX82" s="807"/>
      <c r="CY82" s="807"/>
      <c r="CZ82" s="807"/>
      <c r="DA82" s="807"/>
      <c r="DB82" s="807"/>
      <c r="DC82" s="807"/>
      <c r="DD82" s="807"/>
      <c r="DE82" s="807"/>
      <c r="DF82" s="807"/>
      <c r="DG82" s="807"/>
      <c r="DH82" s="807"/>
      <c r="DI82" s="807"/>
      <c r="DJ82" s="807"/>
      <c r="DK82" s="807"/>
      <c r="DL82" s="807"/>
      <c r="DM82" s="807"/>
      <c r="DN82" s="807"/>
      <c r="DO82" s="807"/>
    </row>
    <row r="83" spans="1:119" s="808" customFormat="1" ht="18.75" hidden="1" customHeight="1">
      <c r="A83" s="4382"/>
      <c r="B83" s="839" t="s">
        <v>22</v>
      </c>
      <c r="C83" s="840"/>
      <c r="D83" s="841">
        <f>SUM(E83:P83)</f>
        <v>0</v>
      </c>
      <c r="E83" s="841">
        <f t="shared" ref="E83:R84" si="69">E84</f>
        <v>0</v>
      </c>
      <c r="F83" s="841">
        <f t="shared" si="69"/>
        <v>0</v>
      </c>
      <c r="G83" s="841">
        <f t="shared" si="69"/>
        <v>0</v>
      </c>
      <c r="H83" s="841">
        <f t="shared" si="69"/>
        <v>0</v>
      </c>
      <c r="I83" s="841">
        <f t="shared" si="69"/>
        <v>0</v>
      </c>
      <c r="J83" s="841">
        <f t="shared" si="69"/>
        <v>0</v>
      </c>
      <c r="K83" s="841">
        <f t="shared" si="69"/>
        <v>0</v>
      </c>
      <c r="L83" s="841">
        <f t="shared" si="69"/>
        <v>0</v>
      </c>
      <c r="M83" s="841"/>
      <c r="N83" s="841">
        <f t="shared" si="69"/>
        <v>0</v>
      </c>
      <c r="O83" s="841">
        <f t="shared" si="69"/>
        <v>0</v>
      </c>
      <c r="P83" s="841">
        <f t="shared" si="69"/>
        <v>0</v>
      </c>
      <c r="Q83" s="841">
        <f t="shared" si="69"/>
        <v>0</v>
      </c>
      <c r="R83" s="841">
        <f t="shared" si="69"/>
        <v>0</v>
      </c>
      <c r="S83" s="841"/>
      <c r="T83" s="841"/>
      <c r="U83" s="841"/>
      <c r="V83" s="841"/>
      <c r="W83" s="841"/>
      <c r="X83" s="842">
        <f>+X84</f>
        <v>0</v>
      </c>
      <c r="Y83" s="4361"/>
      <c r="Z83" s="807"/>
      <c r="AA83" s="807"/>
      <c r="AB83" s="807"/>
      <c r="AC83" s="807"/>
      <c r="AD83" s="807"/>
      <c r="AE83" s="807"/>
      <c r="AF83" s="807"/>
      <c r="AG83" s="807"/>
      <c r="AH83" s="807"/>
      <c r="AI83" s="807"/>
      <c r="AJ83" s="807"/>
      <c r="AK83" s="807"/>
      <c r="AL83" s="807"/>
      <c r="AM83" s="807"/>
      <c r="AN83" s="807"/>
      <c r="AO83" s="807"/>
      <c r="AP83" s="807"/>
      <c r="AQ83" s="807"/>
      <c r="AR83" s="807"/>
      <c r="AS83" s="807"/>
      <c r="AT83" s="807"/>
      <c r="AU83" s="807"/>
      <c r="AV83" s="807"/>
      <c r="AW83" s="807"/>
      <c r="AX83" s="807"/>
      <c r="AY83" s="807"/>
      <c r="AZ83" s="807"/>
      <c r="BA83" s="807"/>
      <c r="BB83" s="807"/>
      <c r="BC83" s="807"/>
      <c r="BD83" s="807"/>
      <c r="BE83" s="807"/>
      <c r="BF83" s="807"/>
      <c r="BG83" s="807"/>
      <c r="BH83" s="807"/>
      <c r="BI83" s="807"/>
      <c r="BJ83" s="807"/>
      <c r="BK83" s="807"/>
      <c r="BL83" s="807"/>
      <c r="BM83" s="807"/>
      <c r="BN83" s="807"/>
      <c r="BO83" s="807"/>
      <c r="BP83" s="807"/>
      <c r="BQ83" s="807"/>
      <c r="BR83" s="807"/>
      <c r="BS83" s="807"/>
      <c r="BT83" s="807"/>
      <c r="BU83" s="807"/>
      <c r="BV83" s="807"/>
      <c r="BW83" s="807"/>
      <c r="BX83" s="807"/>
      <c r="BY83" s="807"/>
      <c r="BZ83" s="807"/>
      <c r="CA83" s="807"/>
      <c r="CB83" s="807"/>
      <c r="CC83" s="807"/>
      <c r="CD83" s="807"/>
      <c r="CE83" s="807"/>
      <c r="CF83" s="807"/>
      <c r="CG83" s="807"/>
      <c r="CH83" s="807"/>
      <c r="CI83" s="807"/>
      <c r="CJ83" s="807"/>
      <c r="CK83" s="807"/>
      <c r="CL83" s="807"/>
      <c r="CM83" s="807"/>
      <c r="CN83" s="807"/>
      <c r="CO83" s="807"/>
      <c r="CP83" s="807"/>
      <c r="CQ83" s="807"/>
      <c r="CR83" s="807"/>
      <c r="CS83" s="807"/>
      <c r="CT83" s="807"/>
      <c r="CU83" s="807"/>
      <c r="CV83" s="807"/>
      <c r="CW83" s="807"/>
      <c r="CX83" s="807"/>
      <c r="CY83" s="807"/>
      <c r="CZ83" s="807"/>
      <c r="DA83" s="807"/>
      <c r="DB83" s="807"/>
      <c r="DC83" s="807"/>
      <c r="DD83" s="807"/>
      <c r="DE83" s="807"/>
      <c r="DF83" s="807"/>
      <c r="DG83" s="807"/>
      <c r="DH83" s="807"/>
      <c r="DI83" s="807"/>
      <c r="DJ83" s="807"/>
      <c r="DK83" s="807"/>
      <c r="DL83" s="807"/>
      <c r="DM83" s="807"/>
      <c r="DN83" s="807"/>
      <c r="DO83" s="807"/>
    </row>
    <row r="84" spans="1:119" s="823" customFormat="1" ht="18.75" hidden="1" customHeight="1">
      <c r="A84" s="4382"/>
      <c r="B84" s="1031" t="s">
        <v>36</v>
      </c>
      <c r="C84" s="4351" t="s">
        <v>205</v>
      </c>
      <c r="D84" s="1032">
        <f>SUM(E84:P84)</f>
        <v>0</v>
      </c>
      <c r="E84" s="1032">
        <f t="shared" si="69"/>
        <v>0</v>
      </c>
      <c r="F84" s="1032">
        <f t="shared" si="69"/>
        <v>0</v>
      </c>
      <c r="G84" s="1032">
        <f t="shared" si="69"/>
        <v>0</v>
      </c>
      <c r="H84" s="1032">
        <f t="shared" si="69"/>
        <v>0</v>
      </c>
      <c r="I84" s="1032">
        <f t="shared" si="69"/>
        <v>0</v>
      </c>
      <c r="J84" s="1032">
        <f t="shared" si="69"/>
        <v>0</v>
      </c>
      <c r="K84" s="1032">
        <f t="shared" si="69"/>
        <v>0</v>
      </c>
      <c r="L84" s="1032">
        <f t="shared" si="69"/>
        <v>0</v>
      </c>
      <c r="M84" s="1032"/>
      <c r="N84" s="1032">
        <f t="shared" si="69"/>
        <v>0</v>
      </c>
      <c r="O84" s="1032">
        <f t="shared" si="69"/>
        <v>0</v>
      </c>
      <c r="P84" s="1032">
        <f t="shared" si="69"/>
        <v>0</v>
      </c>
      <c r="Q84" s="1032">
        <f t="shared" si="69"/>
        <v>0</v>
      </c>
      <c r="R84" s="1032">
        <f t="shared" si="69"/>
        <v>0</v>
      </c>
      <c r="S84" s="1032"/>
      <c r="T84" s="1032"/>
      <c r="U84" s="1032"/>
      <c r="V84" s="1032"/>
      <c r="W84" s="1032"/>
      <c r="X84" s="1033">
        <f>+X85</f>
        <v>0</v>
      </c>
      <c r="Y84" s="4361"/>
    </row>
    <row r="85" spans="1:119" s="808" customFormat="1" ht="18.75" hidden="1" customHeight="1" thickBot="1">
      <c r="A85" s="4383"/>
      <c r="B85" s="843" t="s">
        <v>24</v>
      </c>
      <c r="C85" s="4353"/>
      <c r="D85" s="844">
        <f>SUM(E85:P85)</f>
        <v>0</v>
      </c>
      <c r="E85" s="844">
        <f>256114-256114</f>
        <v>0</v>
      </c>
      <c r="F85" s="844"/>
      <c r="G85" s="844"/>
      <c r="H85" s="844"/>
      <c r="I85" s="844">
        <f>5990843-2500000-3490843</f>
        <v>0</v>
      </c>
      <c r="J85" s="844">
        <f>7154456-7154456</f>
        <v>0</v>
      </c>
      <c r="K85" s="844">
        <v>0</v>
      </c>
      <c r="L85" s="844">
        <v>0</v>
      </c>
      <c r="M85" s="844"/>
      <c r="N85" s="844">
        <v>0</v>
      </c>
      <c r="O85" s="844">
        <v>0</v>
      </c>
      <c r="P85" s="844">
        <v>0</v>
      </c>
      <c r="Q85" s="844">
        <v>0</v>
      </c>
      <c r="R85" s="844">
        <v>0</v>
      </c>
      <c r="S85" s="844"/>
      <c r="T85" s="844"/>
      <c r="U85" s="844"/>
      <c r="V85" s="844"/>
      <c r="W85" s="844"/>
      <c r="X85" s="822">
        <f>SUM(P85:S85)</f>
        <v>0</v>
      </c>
      <c r="Y85" s="4362"/>
      <c r="Z85" s="807"/>
      <c r="AA85" s="807"/>
      <c r="AB85" s="807"/>
      <c r="AC85" s="807"/>
      <c r="AD85" s="807"/>
      <c r="AE85" s="807"/>
      <c r="AF85" s="807"/>
      <c r="AG85" s="807"/>
      <c r="AH85" s="807"/>
      <c r="AI85" s="807"/>
      <c r="AJ85" s="807"/>
      <c r="AK85" s="807"/>
      <c r="AL85" s="807"/>
      <c r="AM85" s="807"/>
      <c r="AN85" s="807"/>
      <c r="AO85" s="807"/>
      <c r="AP85" s="807"/>
      <c r="AQ85" s="807"/>
      <c r="AR85" s="807"/>
      <c r="AS85" s="807"/>
      <c r="AT85" s="807"/>
      <c r="AU85" s="807"/>
      <c r="AV85" s="807"/>
      <c r="AW85" s="807"/>
      <c r="AX85" s="807"/>
      <c r="AY85" s="807"/>
      <c r="AZ85" s="807"/>
      <c r="BA85" s="807"/>
      <c r="BB85" s="807"/>
      <c r="BC85" s="807"/>
      <c r="BD85" s="807"/>
      <c r="BE85" s="807"/>
      <c r="BF85" s="807"/>
      <c r="BG85" s="807"/>
      <c r="BH85" s="807"/>
      <c r="BI85" s="807"/>
      <c r="BJ85" s="807"/>
      <c r="BK85" s="807"/>
      <c r="BL85" s="807"/>
      <c r="BM85" s="807"/>
      <c r="BN85" s="807"/>
      <c r="BO85" s="807"/>
      <c r="BP85" s="807"/>
      <c r="BQ85" s="807"/>
      <c r="BR85" s="807"/>
      <c r="BS85" s="807"/>
      <c r="BT85" s="807"/>
      <c r="BU85" s="807"/>
      <c r="BV85" s="807"/>
      <c r="BW85" s="807"/>
      <c r="BX85" s="807"/>
      <c r="BY85" s="807"/>
      <c r="BZ85" s="807"/>
      <c r="CA85" s="807"/>
      <c r="CB85" s="807"/>
      <c r="CC85" s="807"/>
      <c r="CD85" s="807"/>
      <c r="CE85" s="807"/>
      <c r="CF85" s="807"/>
      <c r="CG85" s="807"/>
      <c r="CH85" s="807"/>
      <c r="CI85" s="807"/>
      <c r="CJ85" s="807"/>
      <c r="CK85" s="807"/>
      <c r="CL85" s="807"/>
      <c r="CM85" s="807"/>
      <c r="CN85" s="807"/>
      <c r="CO85" s="807"/>
      <c r="CP85" s="807"/>
      <c r="CQ85" s="807"/>
      <c r="CR85" s="807"/>
      <c r="CS85" s="807"/>
      <c r="CT85" s="807"/>
      <c r="CU85" s="807"/>
      <c r="CV85" s="807"/>
      <c r="CW85" s="807"/>
      <c r="CX85" s="807"/>
      <c r="CY85" s="807"/>
      <c r="CZ85" s="807"/>
      <c r="DA85" s="807"/>
      <c r="DB85" s="807"/>
      <c r="DC85" s="807"/>
      <c r="DD85" s="807"/>
      <c r="DE85" s="807"/>
      <c r="DF85" s="807"/>
      <c r="DG85" s="807"/>
      <c r="DH85" s="807"/>
      <c r="DI85" s="807"/>
      <c r="DJ85" s="807"/>
      <c r="DK85" s="807"/>
      <c r="DL85" s="807"/>
      <c r="DM85" s="807"/>
      <c r="DN85" s="807"/>
      <c r="DO85" s="807"/>
    </row>
    <row r="86" spans="1:119" ht="12.75" hidden="1" customHeight="1">
      <c r="A86" s="4354" t="s">
        <v>80</v>
      </c>
      <c r="B86" s="1299" t="s">
        <v>206</v>
      </c>
      <c r="C86" s="1768" t="s">
        <v>98</v>
      </c>
      <c r="D86" s="1768"/>
      <c r="E86" s="1768"/>
      <c r="F86" s="1768"/>
      <c r="G86" s="1768"/>
      <c r="H86" s="1768"/>
      <c r="I86" s="1768"/>
      <c r="J86" s="1768"/>
      <c r="K86" s="1768"/>
      <c r="L86" s="1768"/>
      <c r="M86" s="1768"/>
      <c r="N86" s="1768"/>
      <c r="O86" s="1768"/>
      <c r="P86" s="1768"/>
      <c r="Q86" s="1768"/>
      <c r="R86" s="1768"/>
      <c r="S86" s="1768"/>
      <c r="T86" s="1768"/>
      <c r="U86" s="1768"/>
      <c r="V86" s="1768"/>
      <c r="W86" s="1768"/>
      <c r="X86" s="1251"/>
      <c r="Y86" s="4355" t="s">
        <v>207</v>
      </c>
    </row>
    <row r="87" spans="1:119" ht="13.5" hidden="1" customHeight="1">
      <c r="A87" s="4345"/>
      <c r="B87" s="381" t="s">
        <v>22</v>
      </c>
      <c r="C87" s="845"/>
      <c r="D87" s="1768">
        <f>SUM(E87:P87)</f>
        <v>0</v>
      </c>
      <c r="E87" s="766">
        <v>0</v>
      </c>
      <c r="F87" s="766"/>
      <c r="G87" s="766"/>
      <c r="H87" s="766"/>
      <c r="I87" s="766">
        <v>0</v>
      </c>
      <c r="J87" s="766">
        <f>J88</f>
        <v>0</v>
      </c>
      <c r="K87" s="766">
        <f>K88</f>
        <v>0</v>
      </c>
      <c r="L87" s="1768">
        <v>0</v>
      </c>
      <c r="M87" s="1768"/>
      <c r="N87" s="1768">
        <v>0</v>
      </c>
      <c r="O87" s="1768">
        <v>0</v>
      </c>
      <c r="P87" s="1768">
        <v>0</v>
      </c>
      <c r="Q87" s="1768">
        <v>0</v>
      </c>
      <c r="R87" s="1768">
        <v>0</v>
      </c>
      <c r="S87" s="1768"/>
      <c r="T87" s="1768"/>
      <c r="U87" s="1768"/>
      <c r="V87" s="1768"/>
      <c r="W87" s="1768"/>
      <c r="X87" s="1251"/>
      <c r="Y87" s="4355"/>
    </row>
    <row r="88" spans="1:119" ht="14.25" hidden="1" customHeight="1">
      <c r="A88" s="4345"/>
      <c r="B88" s="1299" t="s">
        <v>36</v>
      </c>
      <c r="C88" s="4357" t="s">
        <v>208</v>
      </c>
      <c r="D88" s="1768">
        <f>SUM(E88:P88)</f>
        <v>0</v>
      </c>
      <c r="E88" s="1768">
        <v>0</v>
      </c>
      <c r="F88" s="1768"/>
      <c r="G88" s="1768"/>
      <c r="H88" s="1768"/>
      <c r="I88" s="1768">
        <v>0</v>
      </c>
      <c r="J88" s="1768">
        <f>J89</f>
        <v>0</v>
      </c>
      <c r="K88" s="1768">
        <f>K89</f>
        <v>0</v>
      </c>
      <c r="L88" s="1768">
        <v>0</v>
      </c>
      <c r="M88" s="1768"/>
      <c r="N88" s="1768">
        <v>0</v>
      </c>
      <c r="O88" s="1768">
        <v>0</v>
      </c>
      <c r="P88" s="1768">
        <v>0</v>
      </c>
      <c r="Q88" s="1768">
        <v>0</v>
      </c>
      <c r="R88" s="1768">
        <v>0</v>
      </c>
      <c r="S88" s="1768"/>
      <c r="T88" s="1768"/>
      <c r="U88" s="1768"/>
      <c r="V88" s="1768"/>
      <c r="W88" s="1768"/>
      <c r="X88" s="1251"/>
      <c r="Y88" s="4356"/>
    </row>
    <row r="89" spans="1:119" ht="15" hidden="1" customHeight="1" thickBot="1">
      <c r="A89" s="4345"/>
      <c r="B89" s="1299" t="s">
        <v>24</v>
      </c>
      <c r="C89" s="4357"/>
      <c r="D89" s="1768">
        <f>SUM(E89:P89)</f>
        <v>0</v>
      </c>
      <c r="E89" s="1768">
        <v>0</v>
      </c>
      <c r="F89" s="1768"/>
      <c r="G89" s="1768"/>
      <c r="H89" s="1768"/>
      <c r="I89" s="1768">
        <v>0</v>
      </c>
      <c r="J89" s="1768">
        <v>0</v>
      </c>
      <c r="K89" s="1768">
        <v>0</v>
      </c>
      <c r="L89" s="1768">
        <v>0</v>
      </c>
      <c r="M89" s="1768"/>
      <c r="N89" s="1768">
        <v>0</v>
      </c>
      <c r="O89" s="1768">
        <v>0</v>
      </c>
      <c r="P89" s="1768">
        <v>0</v>
      </c>
      <c r="Q89" s="1768">
        <v>0</v>
      </c>
      <c r="R89" s="1768">
        <v>0</v>
      </c>
      <c r="S89" s="1768"/>
      <c r="T89" s="1768"/>
      <c r="U89" s="1768"/>
      <c r="V89" s="1768"/>
      <c r="W89" s="1768"/>
      <c r="X89" s="1251"/>
      <c r="Y89" s="4356"/>
    </row>
    <row r="90" spans="1:119" ht="36.75" hidden="1" customHeight="1">
      <c r="A90" s="4344" t="s">
        <v>79</v>
      </c>
      <c r="B90" s="833" t="s">
        <v>438</v>
      </c>
      <c r="C90" s="1238" t="s">
        <v>98</v>
      </c>
      <c r="D90" s="846"/>
      <c r="E90" s="775"/>
      <c r="F90" s="775"/>
      <c r="G90" s="775"/>
      <c r="H90" s="775"/>
      <c r="I90" s="775"/>
      <c r="J90" s="775"/>
      <c r="K90" s="775"/>
      <c r="L90" s="836"/>
      <c r="M90" s="836"/>
      <c r="N90" s="836"/>
      <c r="O90" s="836"/>
      <c r="P90" s="837"/>
      <c r="Q90" s="837"/>
      <c r="R90" s="837"/>
      <c r="S90" s="837"/>
      <c r="T90" s="837"/>
      <c r="U90" s="837"/>
      <c r="V90" s="837"/>
      <c r="W90" s="837"/>
      <c r="X90" s="1578"/>
      <c r="Y90" s="4358" t="s">
        <v>358</v>
      </c>
    </row>
    <row r="91" spans="1:119" ht="14.25" hidden="1" customHeight="1">
      <c r="A91" s="4354"/>
      <c r="B91" s="512" t="s">
        <v>22</v>
      </c>
      <c r="C91" s="845"/>
      <c r="D91" s="1022">
        <f>+D92+D95</f>
        <v>0</v>
      </c>
      <c r="E91" s="1022">
        <f>+E92+E95</f>
        <v>0</v>
      </c>
      <c r="F91" s="1022"/>
      <c r="G91" s="1022"/>
      <c r="H91" s="1022"/>
      <c r="I91" s="1022">
        <f>I92</f>
        <v>0</v>
      </c>
      <c r="J91" s="1022">
        <f>+J92+J95</f>
        <v>0</v>
      </c>
      <c r="K91" s="1022">
        <f>+K92+K95</f>
        <v>0</v>
      </c>
      <c r="L91" s="1022">
        <f>+L92+L95</f>
        <v>0</v>
      </c>
      <c r="M91" s="1022">
        <f>+M92+M95</f>
        <v>0</v>
      </c>
      <c r="N91" s="1022">
        <f>+N92+N95</f>
        <v>0</v>
      </c>
      <c r="O91" s="1022">
        <v>0</v>
      </c>
      <c r="P91" s="1022">
        <v>0</v>
      </c>
      <c r="Q91" s="1022">
        <v>0</v>
      </c>
      <c r="R91" s="1022">
        <v>0</v>
      </c>
      <c r="S91" s="1022">
        <v>0</v>
      </c>
      <c r="T91" s="1022">
        <v>0</v>
      </c>
      <c r="U91" s="1022">
        <v>0</v>
      </c>
      <c r="V91" s="1022">
        <v>0</v>
      </c>
      <c r="W91" s="1022">
        <v>0</v>
      </c>
      <c r="X91" s="842">
        <f>+X92</f>
        <v>0</v>
      </c>
      <c r="Y91" s="4358"/>
    </row>
    <row r="92" spans="1:119" ht="15.75" hidden="1" customHeight="1">
      <c r="A92" s="4354"/>
      <c r="B92" s="1023" t="s">
        <v>36</v>
      </c>
      <c r="C92" s="4351" t="s">
        <v>209</v>
      </c>
      <c r="D92" s="1024">
        <f>D93+D94</f>
        <v>0</v>
      </c>
      <c r="E92" s="1024">
        <f t="shared" ref="E92:P92" si="70">E93+E94</f>
        <v>0</v>
      </c>
      <c r="F92" s="1024">
        <f t="shared" si="70"/>
        <v>0</v>
      </c>
      <c r="G92" s="1024">
        <f t="shared" si="70"/>
        <v>0</v>
      </c>
      <c r="H92" s="1024">
        <f t="shared" si="70"/>
        <v>0</v>
      </c>
      <c r="I92" s="1024">
        <f t="shared" si="70"/>
        <v>0</v>
      </c>
      <c r="J92" s="1024">
        <f t="shared" si="70"/>
        <v>0</v>
      </c>
      <c r="K92" s="1024">
        <f t="shared" si="70"/>
        <v>0</v>
      </c>
      <c r="L92" s="1024">
        <f t="shared" si="70"/>
        <v>0</v>
      </c>
      <c r="M92" s="1024">
        <f t="shared" si="70"/>
        <v>0</v>
      </c>
      <c r="N92" s="1024">
        <f t="shared" si="70"/>
        <v>0</v>
      </c>
      <c r="O92" s="1024">
        <f t="shared" si="70"/>
        <v>0</v>
      </c>
      <c r="P92" s="1024">
        <f t="shared" si="70"/>
        <v>0</v>
      </c>
      <c r="Q92" s="1024">
        <f>Q93+Q94</f>
        <v>0</v>
      </c>
      <c r="R92" s="1024">
        <f>R93+R94</f>
        <v>0</v>
      </c>
      <c r="S92" s="1024">
        <f t="shared" ref="S92:W92" si="71">S93+S94</f>
        <v>0</v>
      </c>
      <c r="T92" s="1024">
        <f t="shared" si="71"/>
        <v>0</v>
      </c>
      <c r="U92" s="1024">
        <f t="shared" si="71"/>
        <v>0</v>
      </c>
      <c r="V92" s="1024">
        <f t="shared" si="71"/>
        <v>0</v>
      </c>
      <c r="W92" s="1024">
        <f t="shared" si="71"/>
        <v>0</v>
      </c>
      <c r="X92" s="1572">
        <f>+X94</f>
        <v>0</v>
      </c>
      <c r="Y92" s="4358"/>
    </row>
    <row r="93" spans="1:119" ht="13.5" hidden="1" customHeight="1">
      <c r="A93" s="4354"/>
      <c r="B93" s="1025" t="s">
        <v>200</v>
      </c>
      <c r="C93" s="4375"/>
      <c r="D93" s="783">
        <f>M93+O93+P93+Q93+R93+S93+T93+U93+V93+W93</f>
        <v>0</v>
      </c>
      <c r="E93" s="793">
        <v>0</v>
      </c>
      <c r="F93" s="793"/>
      <c r="G93" s="793"/>
      <c r="H93" s="793"/>
      <c r="I93" s="793">
        <v>0</v>
      </c>
      <c r="J93" s="793">
        <v>0</v>
      </c>
      <c r="K93" s="793">
        <f>2079+2921-5000</f>
        <v>0</v>
      </c>
      <c r="L93" s="793">
        <v>0</v>
      </c>
      <c r="M93" s="783">
        <f>+L93+N93</f>
        <v>0</v>
      </c>
      <c r="N93" s="793">
        <v>0</v>
      </c>
      <c r="O93" s="793">
        <v>0</v>
      </c>
      <c r="P93" s="793">
        <v>0</v>
      </c>
      <c r="Q93" s="793">
        <v>0</v>
      </c>
      <c r="R93" s="793">
        <v>0</v>
      </c>
      <c r="S93" s="793">
        <v>0</v>
      </c>
      <c r="T93" s="793">
        <v>0</v>
      </c>
      <c r="U93" s="793">
        <v>0</v>
      </c>
      <c r="V93" s="793">
        <v>0</v>
      </c>
      <c r="W93" s="793">
        <v>0</v>
      </c>
      <c r="X93" s="827" t="s">
        <v>77</v>
      </c>
      <c r="Y93" s="4358"/>
    </row>
    <row r="94" spans="1:119" ht="13.5" hidden="1" customHeight="1">
      <c r="A94" s="4354"/>
      <c r="B94" s="1026" t="s">
        <v>201</v>
      </c>
      <c r="C94" s="4375"/>
      <c r="D94" s="783">
        <f>M94+O94+P94+Q94+R94+S94+T94+U94+V94+W94</f>
        <v>0</v>
      </c>
      <c r="E94" s="855">
        <v>0</v>
      </c>
      <c r="F94" s="855"/>
      <c r="G94" s="855"/>
      <c r="H94" s="855"/>
      <c r="I94" s="855">
        <v>0</v>
      </c>
      <c r="J94" s="855">
        <v>0</v>
      </c>
      <c r="K94" s="855">
        <v>0</v>
      </c>
      <c r="L94" s="855">
        <v>0</v>
      </c>
      <c r="M94" s="783">
        <f>+L94+N94</f>
        <v>0</v>
      </c>
      <c r="N94" s="855">
        <v>0</v>
      </c>
      <c r="O94" s="855">
        <v>0</v>
      </c>
      <c r="P94" s="855">
        <v>0</v>
      </c>
      <c r="Q94" s="855">
        <v>0</v>
      </c>
      <c r="R94" s="855">
        <v>0</v>
      </c>
      <c r="S94" s="855">
        <v>0</v>
      </c>
      <c r="T94" s="855">
        <v>0</v>
      </c>
      <c r="U94" s="855">
        <v>0</v>
      </c>
      <c r="V94" s="855">
        <v>0</v>
      </c>
      <c r="W94" s="855">
        <v>0</v>
      </c>
      <c r="X94" s="1572">
        <f>+P94+Q94+R94</f>
        <v>0</v>
      </c>
      <c r="Y94" s="4358"/>
    </row>
    <row r="95" spans="1:119" ht="12" hidden="1" customHeight="1">
      <c r="A95" s="4354"/>
      <c r="B95" s="1023" t="s">
        <v>30</v>
      </c>
      <c r="C95" s="4375"/>
      <c r="D95" s="1024">
        <f>+D96</f>
        <v>0</v>
      </c>
      <c r="E95" s="1024">
        <f>+E96</f>
        <v>0</v>
      </c>
      <c r="F95" s="1024"/>
      <c r="G95" s="1024"/>
      <c r="H95" s="1024"/>
      <c r="I95" s="1024">
        <f t="shared" ref="I95:X95" si="72">+I96</f>
        <v>0</v>
      </c>
      <c r="J95" s="1024">
        <f t="shared" si="72"/>
        <v>0</v>
      </c>
      <c r="K95" s="1024">
        <f t="shared" si="72"/>
        <v>0</v>
      </c>
      <c r="L95" s="1024">
        <f t="shared" si="72"/>
        <v>0</v>
      </c>
      <c r="M95" s="1024">
        <f t="shared" si="72"/>
        <v>0</v>
      </c>
      <c r="N95" s="1024">
        <f t="shared" si="72"/>
        <v>0</v>
      </c>
      <c r="O95" s="1024">
        <v>0</v>
      </c>
      <c r="P95" s="1024">
        <v>0</v>
      </c>
      <c r="Q95" s="1024">
        <v>0</v>
      </c>
      <c r="R95" s="1024">
        <v>0</v>
      </c>
      <c r="S95" s="1024">
        <v>0</v>
      </c>
      <c r="T95" s="1024">
        <v>0</v>
      </c>
      <c r="U95" s="1024">
        <v>0</v>
      </c>
      <c r="V95" s="1024">
        <v>0</v>
      </c>
      <c r="W95" s="1024">
        <v>0</v>
      </c>
      <c r="X95" s="827" t="str">
        <f t="shared" si="72"/>
        <v>x</v>
      </c>
      <c r="Y95" s="4358"/>
    </row>
    <row r="96" spans="1:119" ht="14.25" hidden="1" customHeight="1">
      <c r="A96" s="4354"/>
      <c r="B96" s="1239" t="s">
        <v>48</v>
      </c>
      <c r="C96" s="4352"/>
      <c r="D96" s="783">
        <f>M96+O96+P96+Q96+R96+S96+T96+U96+V96+W96</f>
        <v>0</v>
      </c>
      <c r="E96" s="855">
        <v>0</v>
      </c>
      <c r="F96" s="855"/>
      <c r="G96" s="855"/>
      <c r="H96" s="855"/>
      <c r="I96" s="855">
        <v>0</v>
      </c>
      <c r="J96" s="855">
        <v>0</v>
      </c>
      <c r="K96" s="855">
        <f>6237+8763-15000</f>
        <v>0</v>
      </c>
      <c r="L96" s="855">
        <v>0</v>
      </c>
      <c r="M96" s="783">
        <f>+L96+N96</f>
        <v>0</v>
      </c>
      <c r="N96" s="855">
        <v>0</v>
      </c>
      <c r="O96" s="1028">
        <v>0</v>
      </c>
      <c r="P96" s="1028">
        <v>0</v>
      </c>
      <c r="Q96" s="1028">
        <v>0</v>
      </c>
      <c r="R96" s="1028">
        <v>0</v>
      </c>
      <c r="S96" s="1028">
        <v>0</v>
      </c>
      <c r="T96" s="1028">
        <v>0</v>
      </c>
      <c r="U96" s="1028">
        <v>0</v>
      </c>
      <c r="V96" s="1028">
        <v>0</v>
      </c>
      <c r="W96" s="1028">
        <v>0</v>
      </c>
      <c r="X96" s="1579" t="s">
        <v>77</v>
      </c>
      <c r="Y96" s="4358"/>
    </row>
    <row r="97" spans="1:25" ht="13.5" hidden="1" customHeight="1">
      <c r="A97" s="4354"/>
      <c r="B97" s="381" t="s">
        <v>34</v>
      </c>
      <c r="C97" s="845"/>
      <c r="D97" s="1022">
        <f>D101+D98</f>
        <v>0</v>
      </c>
      <c r="E97" s="1022">
        <f t="shared" ref="E97:J97" si="73">E101</f>
        <v>0</v>
      </c>
      <c r="F97" s="1022"/>
      <c r="G97" s="1022"/>
      <c r="H97" s="1022"/>
      <c r="I97" s="1022">
        <f t="shared" si="73"/>
        <v>0</v>
      </c>
      <c r="J97" s="1022">
        <f t="shared" si="73"/>
        <v>0</v>
      </c>
      <c r="K97" s="1022">
        <f>K101+K98</f>
        <v>0</v>
      </c>
      <c r="L97" s="1022">
        <f>L101+L98</f>
        <v>0</v>
      </c>
      <c r="M97" s="1022">
        <f>M101+M98</f>
        <v>0</v>
      </c>
      <c r="N97" s="1022">
        <f>N101+N98</f>
        <v>0</v>
      </c>
      <c r="O97" s="1022">
        <f>O101+O98</f>
        <v>0</v>
      </c>
      <c r="P97" s="1022">
        <v>0</v>
      </c>
      <c r="Q97" s="1022">
        <v>0</v>
      </c>
      <c r="R97" s="1022">
        <v>0</v>
      </c>
      <c r="S97" s="1022">
        <v>0</v>
      </c>
      <c r="T97" s="1022">
        <v>0</v>
      </c>
      <c r="U97" s="1022">
        <v>0</v>
      </c>
      <c r="V97" s="1022">
        <v>0</v>
      </c>
      <c r="W97" s="1022">
        <v>0</v>
      </c>
      <c r="X97" s="842"/>
      <c r="Y97" s="4358"/>
    </row>
    <row r="98" spans="1:25" ht="14.25" hidden="1" customHeight="1">
      <c r="A98" s="4354"/>
      <c r="B98" s="779" t="s">
        <v>36</v>
      </c>
      <c r="C98" s="4376" t="s">
        <v>35</v>
      </c>
      <c r="D98" s="1240">
        <f>+D100+D99</f>
        <v>0</v>
      </c>
      <c r="E98" s="1240">
        <f t="shared" ref="E98:P98" si="74">+E100+E99</f>
        <v>0</v>
      </c>
      <c r="F98" s="1240">
        <f t="shared" si="74"/>
        <v>0</v>
      </c>
      <c r="G98" s="1240">
        <f t="shared" si="74"/>
        <v>0</v>
      </c>
      <c r="H98" s="1240">
        <f t="shared" si="74"/>
        <v>0</v>
      </c>
      <c r="I98" s="1240">
        <f t="shared" si="74"/>
        <v>0</v>
      </c>
      <c r="J98" s="1240">
        <f t="shared" si="74"/>
        <v>0</v>
      </c>
      <c r="K98" s="1240">
        <f t="shared" si="74"/>
        <v>0</v>
      </c>
      <c r="L98" s="1240">
        <f t="shared" si="74"/>
        <v>0</v>
      </c>
      <c r="M98" s="1240">
        <f t="shared" si="74"/>
        <v>0</v>
      </c>
      <c r="N98" s="1240">
        <f t="shared" si="74"/>
        <v>0</v>
      </c>
      <c r="O98" s="1240">
        <f t="shared" si="74"/>
        <v>0</v>
      </c>
      <c r="P98" s="1024">
        <f t="shared" si="74"/>
        <v>0</v>
      </c>
      <c r="Q98" s="1024">
        <f>+Q100+Q99</f>
        <v>0</v>
      </c>
      <c r="R98" s="1024">
        <f>+R100+R99</f>
        <v>0</v>
      </c>
      <c r="S98" s="1024">
        <f t="shared" ref="S98:W98" si="75">+S100+S99</f>
        <v>0</v>
      </c>
      <c r="T98" s="1024">
        <f t="shared" si="75"/>
        <v>0</v>
      </c>
      <c r="U98" s="1024">
        <f t="shared" si="75"/>
        <v>0</v>
      </c>
      <c r="V98" s="1024">
        <f t="shared" si="75"/>
        <v>0</v>
      </c>
      <c r="W98" s="1024">
        <f t="shared" si="75"/>
        <v>0</v>
      </c>
      <c r="X98" s="4378" t="s">
        <v>77</v>
      </c>
      <c r="Y98" s="4358"/>
    </row>
    <row r="99" spans="1:25" ht="13.5" hidden="1" customHeight="1">
      <c r="A99" s="4354"/>
      <c r="B99" s="1025" t="s">
        <v>200</v>
      </c>
      <c r="C99" s="4059"/>
      <c r="D99" s="783">
        <f>M99+O99+P99+Q99+R99+S99+T99+U99+V99+W99</f>
        <v>0</v>
      </c>
      <c r="E99" s="1241">
        <v>0</v>
      </c>
      <c r="F99" s="1241"/>
      <c r="G99" s="1241"/>
      <c r="H99" s="1241"/>
      <c r="I99" s="1241">
        <v>0</v>
      </c>
      <c r="J99" s="1241">
        <v>0</v>
      </c>
      <c r="K99" s="1241">
        <f>2079+2921-5000</f>
        <v>0</v>
      </c>
      <c r="L99" s="1241">
        <v>0</v>
      </c>
      <c r="M99" s="783">
        <f>+L99+N99</f>
        <v>0</v>
      </c>
      <c r="N99" s="1241">
        <v>0</v>
      </c>
      <c r="O99" s="1241">
        <v>0</v>
      </c>
      <c r="P99" s="1242">
        <v>0</v>
      </c>
      <c r="Q99" s="1242">
        <v>0</v>
      </c>
      <c r="R99" s="1242">
        <v>0</v>
      </c>
      <c r="S99" s="1242">
        <v>0</v>
      </c>
      <c r="T99" s="1242">
        <v>0</v>
      </c>
      <c r="U99" s="1242">
        <v>0</v>
      </c>
      <c r="V99" s="1242">
        <v>0</v>
      </c>
      <c r="W99" s="1242">
        <v>0</v>
      </c>
      <c r="X99" s="4379"/>
      <c r="Y99" s="4358"/>
    </row>
    <row r="100" spans="1:25" ht="13.5" hidden="1" customHeight="1">
      <c r="A100" s="4354"/>
      <c r="B100" s="1026" t="s">
        <v>210</v>
      </c>
      <c r="C100" s="4059"/>
      <c r="D100" s="783">
        <f>M100+O100+P100+Q100+R100+S100+T100+U100+V100+W100</f>
        <v>0</v>
      </c>
      <c r="E100" s="855">
        <v>0</v>
      </c>
      <c r="F100" s="855"/>
      <c r="G100" s="855"/>
      <c r="H100" s="855"/>
      <c r="I100" s="855">
        <v>0</v>
      </c>
      <c r="J100" s="855">
        <v>0</v>
      </c>
      <c r="K100" s="855">
        <v>0</v>
      </c>
      <c r="L100" s="855">
        <f>2111463-51216-2060247</f>
        <v>0</v>
      </c>
      <c r="M100" s="1241">
        <f>+L100</f>
        <v>0</v>
      </c>
      <c r="N100" s="855">
        <f>1489154-9350-1479804</f>
        <v>0</v>
      </c>
      <c r="O100" s="855">
        <v>0</v>
      </c>
      <c r="P100" s="855">
        <v>0</v>
      </c>
      <c r="Q100" s="855">
        <v>0</v>
      </c>
      <c r="R100" s="855">
        <v>0</v>
      </c>
      <c r="S100" s="855">
        <v>0</v>
      </c>
      <c r="T100" s="855">
        <v>0</v>
      </c>
      <c r="U100" s="855">
        <v>0</v>
      </c>
      <c r="V100" s="855">
        <v>0</v>
      </c>
      <c r="W100" s="855">
        <v>0</v>
      </c>
      <c r="X100" s="4379"/>
      <c r="Y100" s="4358"/>
    </row>
    <row r="101" spans="1:25" ht="12.75" hidden="1" customHeight="1">
      <c r="A101" s="4354"/>
      <c r="B101" s="1023" t="s">
        <v>30</v>
      </c>
      <c r="C101" s="4059"/>
      <c r="D101" s="1240">
        <f>+D102</f>
        <v>0</v>
      </c>
      <c r="E101" s="1240">
        <f>+E102</f>
        <v>0</v>
      </c>
      <c r="F101" s="1240"/>
      <c r="G101" s="1240"/>
      <c r="H101" s="1240"/>
      <c r="I101" s="1240">
        <f t="shared" ref="I101:O101" si="76">+I102</f>
        <v>0</v>
      </c>
      <c r="J101" s="1240">
        <f t="shared" si="76"/>
        <v>0</v>
      </c>
      <c r="K101" s="1240">
        <f t="shared" si="76"/>
        <v>0</v>
      </c>
      <c r="L101" s="1240">
        <f t="shared" si="76"/>
        <v>0</v>
      </c>
      <c r="M101" s="1240">
        <f t="shared" si="76"/>
        <v>0</v>
      </c>
      <c r="N101" s="1240">
        <f t="shared" si="76"/>
        <v>0</v>
      </c>
      <c r="O101" s="1240">
        <f t="shared" si="76"/>
        <v>0</v>
      </c>
      <c r="P101" s="1024">
        <v>0</v>
      </c>
      <c r="Q101" s="1024">
        <v>0</v>
      </c>
      <c r="R101" s="1024">
        <v>0</v>
      </c>
      <c r="S101" s="1024">
        <v>0</v>
      </c>
      <c r="T101" s="1024">
        <v>0</v>
      </c>
      <c r="U101" s="1024"/>
      <c r="V101" s="1024"/>
      <c r="W101" s="1024"/>
      <c r="X101" s="4379"/>
      <c r="Y101" s="4358"/>
    </row>
    <row r="102" spans="1:25" ht="13.5" hidden="1" customHeight="1" thickBot="1">
      <c r="A102" s="4354"/>
      <c r="B102" s="1243" t="s">
        <v>48</v>
      </c>
      <c r="C102" s="4054"/>
      <c r="D102" s="783">
        <f>M102+O102+P102+Q102+R102+S102+T102+U102+V102+W102</f>
        <v>0</v>
      </c>
      <c r="E102" s="1241">
        <v>0</v>
      </c>
      <c r="F102" s="1241"/>
      <c r="G102" s="1241"/>
      <c r="H102" s="1241"/>
      <c r="I102" s="1241">
        <v>0</v>
      </c>
      <c r="J102" s="1241">
        <v>0</v>
      </c>
      <c r="K102" s="1241">
        <f>6237+8763-15000</f>
        <v>0</v>
      </c>
      <c r="L102" s="1241">
        <v>0</v>
      </c>
      <c r="M102" s="783">
        <v>0</v>
      </c>
      <c r="N102" s="1241">
        <v>0</v>
      </c>
      <c r="O102" s="1242">
        <v>0</v>
      </c>
      <c r="P102" s="1242">
        <v>0</v>
      </c>
      <c r="Q102" s="1242">
        <v>0</v>
      </c>
      <c r="R102" s="1242">
        <v>0</v>
      </c>
      <c r="S102" s="1242">
        <v>0</v>
      </c>
      <c r="T102" s="1242">
        <v>0</v>
      </c>
      <c r="U102" s="1242">
        <v>0</v>
      </c>
      <c r="V102" s="1242">
        <v>0</v>
      </c>
      <c r="W102" s="1242">
        <v>0</v>
      </c>
      <c r="X102" s="4380"/>
      <c r="Y102" s="4359"/>
    </row>
    <row r="103" spans="1:25" ht="26.25" customHeight="1">
      <c r="A103" s="4344" t="s">
        <v>79</v>
      </c>
      <c r="B103" s="1244" t="s">
        <v>368</v>
      </c>
      <c r="C103" s="1245" t="s">
        <v>98</v>
      </c>
      <c r="D103" s="1246"/>
      <c r="E103" s="775"/>
      <c r="F103" s="775"/>
      <c r="G103" s="775"/>
      <c r="H103" s="775"/>
      <c r="I103" s="775"/>
      <c r="J103" s="775"/>
      <c r="K103" s="775"/>
      <c r="L103" s="836"/>
      <c r="M103" s="836"/>
      <c r="N103" s="836"/>
      <c r="O103" s="836"/>
      <c r="P103" s="837"/>
      <c r="Q103" s="837"/>
      <c r="R103" s="837"/>
      <c r="S103" s="837"/>
      <c r="T103" s="837"/>
      <c r="U103" s="837"/>
      <c r="V103" s="837"/>
      <c r="W103" s="837"/>
      <c r="X103" s="1574"/>
      <c r="Y103" s="4151" t="s">
        <v>382</v>
      </c>
    </row>
    <row r="104" spans="1:25" s="887" customFormat="1" ht="17.25" customHeight="1">
      <c r="A104" s="4345"/>
      <c r="B104" s="1247" t="s">
        <v>22</v>
      </c>
      <c r="C104" s="845"/>
      <c r="D104" s="1569">
        <f>+D105</f>
        <v>159718</v>
      </c>
      <c r="E104" s="1569">
        <f t="shared" ref="E104:U105" si="77">E105</f>
        <v>0</v>
      </c>
      <c r="F104" s="1569">
        <f t="shared" si="77"/>
        <v>0</v>
      </c>
      <c r="G104" s="1569">
        <f t="shared" si="77"/>
        <v>0</v>
      </c>
      <c r="H104" s="1569">
        <f t="shared" si="77"/>
        <v>0</v>
      </c>
      <c r="I104" s="1569">
        <f t="shared" si="77"/>
        <v>0</v>
      </c>
      <c r="J104" s="1569">
        <f t="shared" si="77"/>
        <v>0</v>
      </c>
      <c r="K104" s="1569">
        <f t="shared" si="77"/>
        <v>0</v>
      </c>
      <c r="L104" s="1569">
        <f t="shared" si="77"/>
        <v>16605</v>
      </c>
      <c r="M104" s="1569">
        <f t="shared" si="77"/>
        <v>134101</v>
      </c>
      <c r="N104" s="1569">
        <f t="shared" si="77"/>
        <v>117496</v>
      </c>
      <c r="O104" s="1569">
        <f t="shared" si="77"/>
        <v>25617</v>
      </c>
      <c r="P104" s="1569">
        <f t="shared" si="77"/>
        <v>0</v>
      </c>
      <c r="Q104" s="1569">
        <f t="shared" si="77"/>
        <v>0</v>
      </c>
      <c r="R104" s="1569">
        <f t="shared" si="77"/>
        <v>0</v>
      </c>
      <c r="S104" s="1569">
        <f t="shared" si="77"/>
        <v>0</v>
      </c>
      <c r="T104" s="1569">
        <f t="shared" si="77"/>
        <v>0</v>
      </c>
      <c r="U104" s="1569">
        <f t="shared" si="77"/>
        <v>0</v>
      </c>
      <c r="V104" s="1569">
        <f t="shared" ref="V104:W104" si="78">V105</f>
        <v>0</v>
      </c>
      <c r="W104" s="1569">
        <f t="shared" si="78"/>
        <v>0</v>
      </c>
      <c r="X104" s="1570">
        <f>+X105</f>
        <v>0</v>
      </c>
      <c r="Y104" s="4124"/>
    </row>
    <row r="105" spans="1:25" s="1176" customFormat="1" ht="15" customHeight="1">
      <c r="A105" s="4345"/>
      <c r="B105" s="1248" t="s">
        <v>36</v>
      </c>
      <c r="C105" s="4347" t="s">
        <v>209</v>
      </c>
      <c r="D105" s="1240">
        <f>D106</f>
        <v>159718</v>
      </c>
      <c r="E105" s="1240">
        <f t="shared" si="77"/>
        <v>0</v>
      </c>
      <c r="F105" s="1240">
        <f t="shared" si="77"/>
        <v>0</v>
      </c>
      <c r="G105" s="1240">
        <f t="shared" si="77"/>
        <v>0</v>
      </c>
      <c r="H105" s="1240">
        <f t="shared" si="77"/>
        <v>0</v>
      </c>
      <c r="I105" s="1240">
        <f t="shared" si="77"/>
        <v>0</v>
      </c>
      <c r="J105" s="1240">
        <f t="shared" si="77"/>
        <v>0</v>
      </c>
      <c r="K105" s="1240">
        <f t="shared" si="77"/>
        <v>0</v>
      </c>
      <c r="L105" s="1240">
        <f t="shared" si="77"/>
        <v>16605</v>
      </c>
      <c r="M105" s="1240">
        <f>M106</f>
        <v>134101</v>
      </c>
      <c r="N105" s="1240">
        <f t="shared" si="77"/>
        <v>117496</v>
      </c>
      <c r="O105" s="1240">
        <f t="shared" si="77"/>
        <v>25617</v>
      </c>
      <c r="P105" s="1240">
        <f t="shared" si="77"/>
        <v>0</v>
      </c>
      <c r="Q105" s="1240">
        <f t="shared" si="77"/>
        <v>0</v>
      </c>
      <c r="R105" s="1240">
        <f t="shared" si="77"/>
        <v>0</v>
      </c>
      <c r="S105" s="1240">
        <f t="shared" si="77"/>
        <v>0</v>
      </c>
      <c r="T105" s="1240">
        <f t="shared" si="77"/>
        <v>0</v>
      </c>
      <c r="U105" s="1240">
        <f t="shared" si="77"/>
        <v>0</v>
      </c>
      <c r="V105" s="1240">
        <f t="shared" ref="V105:W105" si="79">V106</f>
        <v>0</v>
      </c>
      <c r="W105" s="1240">
        <f t="shared" si="79"/>
        <v>0</v>
      </c>
      <c r="X105" s="1571">
        <f>+X106</f>
        <v>0</v>
      </c>
      <c r="Y105" s="4124"/>
    </row>
    <row r="106" spans="1:25" s="887" customFormat="1" ht="15" customHeight="1" thickBot="1">
      <c r="A106" s="4346"/>
      <c r="B106" s="1249" t="s">
        <v>201</v>
      </c>
      <c r="C106" s="4348"/>
      <c r="D106" s="1776">
        <f>M106+O106+P106+Q106+R106+S106+T106+U106+V106+W106</f>
        <v>159718</v>
      </c>
      <c r="E106" s="1297">
        <v>0</v>
      </c>
      <c r="F106" s="1297"/>
      <c r="G106" s="1297"/>
      <c r="H106" s="1297"/>
      <c r="I106" s="1297">
        <v>0</v>
      </c>
      <c r="J106" s="1297">
        <v>0</v>
      </c>
      <c r="K106" s="1297">
        <v>0</v>
      </c>
      <c r="L106" s="1297">
        <f>100000-83395</f>
        <v>16605</v>
      </c>
      <c r="M106" s="1776">
        <f>+L106+N106</f>
        <v>134101</v>
      </c>
      <c r="N106" s="1297">
        <f>60000+83395-25617-282</f>
        <v>117496</v>
      </c>
      <c r="O106" s="1297">
        <f>25617</f>
        <v>25617</v>
      </c>
      <c r="P106" s="1297">
        <v>0</v>
      </c>
      <c r="Q106" s="1297">
        <v>0</v>
      </c>
      <c r="R106" s="1297">
        <v>0</v>
      </c>
      <c r="S106" s="1297">
        <v>0</v>
      </c>
      <c r="T106" s="1297">
        <v>0</v>
      </c>
      <c r="U106" s="1297">
        <v>0</v>
      </c>
      <c r="V106" s="1297">
        <v>0</v>
      </c>
      <c r="W106" s="1297">
        <v>0</v>
      </c>
      <c r="X106" s="1616">
        <f>+T106+S106+R106+Q106+P106</f>
        <v>0</v>
      </c>
      <c r="Y106" s="4125"/>
    </row>
    <row r="107" spans="1:25" ht="12.75">
      <c r="A107" s="1769"/>
      <c r="B107" s="1769"/>
      <c r="C107" s="1769"/>
      <c r="D107" s="1769"/>
      <c r="E107" s="1769"/>
      <c r="F107" s="1769"/>
      <c r="G107" s="1769"/>
      <c r="H107" s="1769"/>
      <c r="I107" s="1769"/>
      <c r="J107" s="1769"/>
      <c r="K107" s="1769"/>
      <c r="L107" s="1769"/>
      <c r="M107" s="1769"/>
      <c r="N107" s="1769"/>
      <c r="O107" s="1769"/>
      <c r="P107" s="1769"/>
      <c r="Q107" s="1769"/>
      <c r="R107" s="1769"/>
      <c r="S107" s="1769"/>
      <c r="T107" s="1769"/>
      <c r="U107" s="1769"/>
      <c r="V107" s="1769"/>
      <c r="W107" s="1769"/>
      <c r="X107" s="1769"/>
    </row>
    <row r="108" spans="1:25" ht="12.75">
      <c r="A108" s="1769"/>
      <c r="B108" s="1769"/>
      <c r="C108" s="1769"/>
      <c r="D108" s="1769"/>
      <c r="E108" s="1769"/>
      <c r="F108" s="1769"/>
      <c r="G108" s="1769"/>
      <c r="H108" s="1769"/>
      <c r="I108" s="1769"/>
      <c r="J108" s="1769"/>
      <c r="K108" s="1769"/>
      <c r="L108" s="1769"/>
      <c r="M108" s="1769"/>
      <c r="N108" s="1769"/>
      <c r="O108" s="1769"/>
      <c r="P108" s="1769"/>
      <c r="Q108" s="1769"/>
      <c r="R108" s="1769"/>
      <c r="S108" s="1769"/>
      <c r="T108" s="1769"/>
      <c r="U108" s="1769"/>
      <c r="V108" s="1769"/>
      <c r="W108" s="1769"/>
      <c r="X108" s="1769"/>
    </row>
    <row r="109" spans="1:25" ht="12.75">
      <c r="A109" s="1769"/>
      <c r="B109" s="1769"/>
      <c r="C109" s="1769"/>
      <c r="D109" s="1769"/>
      <c r="E109" s="1769"/>
      <c r="F109" s="1769"/>
      <c r="G109" s="1769"/>
      <c r="H109" s="1769"/>
      <c r="I109" s="1769"/>
      <c r="J109" s="1769"/>
      <c r="K109" s="1769"/>
      <c r="L109" s="1769"/>
      <c r="M109" s="1769"/>
      <c r="N109" s="1769"/>
      <c r="O109" s="1769"/>
      <c r="P109" s="1769"/>
      <c r="Q109" s="1769"/>
      <c r="R109" s="1769"/>
      <c r="S109" s="1769"/>
      <c r="T109" s="1769"/>
      <c r="U109" s="1769"/>
      <c r="V109" s="1769"/>
      <c r="W109" s="1769"/>
      <c r="X109" s="1769"/>
    </row>
    <row r="110" spans="1:25" ht="12.75">
      <c r="A110" s="1769"/>
      <c r="B110" s="1769"/>
      <c r="C110" s="1769"/>
      <c r="D110" s="1769"/>
      <c r="E110" s="1769"/>
      <c r="F110" s="1769"/>
      <c r="G110" s="1769"/>
      <c r="H110" s="1769"/>
      <c r="I110" s="1769"/>
      <c r="J110" s="1769"/>
      <c r="K110" s="1769"/>
      <c r="L110" s="1769"/>
      <c r="M110" s="1769"/>
      <c r="N110" s="1769"/>
      <c r="O110" s="1769"/>
      <c r="P110" s="1769"/>
      <c r="Q110" s="1769"/>
      <c r="R110" s="1769"/>
      <c r="S110" s="1769"/>
      <c r="T110" s="1769"/>
      <c r="U110" s="1769"/>
      <c r="V110" s="1769"/>
      <c r="W110" s="1769"/>
      <c r="X110" s="1769"/>
    </row>
    <row r="111" spans="1:25" ht="12.75">
      <c r="A111" s="1769"/>
      <c r="B111" s="1769"/>
      <c r="C111" s="1769"/>
      <c r="D111" s="1769"/>
      <c r="E111" s="1769"/>
      <c r="F111" s="1769"/>
      <c r="G111" s="1769"/>
      <c r="H111" s="1769"/>
      <c r="I111" s="1769"/>
      <c r="J111" s="1769"/>
      <c r="K111" s="1769"/>
      <c r="L111" s="1769"/>
      <c r="M111" s="1769"/>
      <c r="N111" s="1769"/>
      <c r="O111" s="1769"/>
      <c r="P111" s="1769"/>
      <c r="Q111" s="1769"/>
      <c r="R111" s="1769"/>
      <c r="S111" s="1769"/>
      <c r="T111" s="1769"/>
      <c r="U111" s="1769"/>
      <c r="V111" s="1769"/>
      <c r="W111" s="1769"/>
      <c r="X111" s="1769"/>
    </row>
    <row r="112" spans="1:25">
      <c r="E112" s="848"/>
      <c r="F112" s="848"/>
      <c r="G112" s="848"/>
      <c r="H112" s="848"/>
      <c r="I112" s="848"/>
      <c r="J112" s="848"/>
      <c r="K112" s="848"/>
      <c r="L112" s="848"/>
      <c r="M112" s="848"/>
      <c r="N112" s="848"/>
      <c r="O112" s="848"/>
      <c r="P112" s="848"/>
      <c r="Y112" s="849"/>
    </row>
    <row r="113" spans="5:25">
      <c r="E113" s="848"/>
      <c r="F113" s="848"/>
      <c r="G113" s="848"/>
      <c r="H113" s="848"/>
      <c r="I113" s="848"/>
      <c r="J113" s="848"/>
      <c r="K113" s="848"/>
      <c r="L113" s="848"/>
      <c r="M113" s="848"/>
      <c r="N113" s="848"/>
      <c r="O113" s="848"/>
      <c r="P113" s="848"/>
      <c r="Y113" s="849"/>
    </row>
    <row r="114" spans="5:25">
      <c r="E114" s="848"/>
      <c r="F114" s="848"/>
      <c r="G114" s="848"/>
      <c r="H114" s="848"/>
      <c r="I114" s="848"/>
      <c r="J114" s="848"/>
      <c r="K114" s="848"/>
      <c r="L114" s="848"/>
      <c r="M114" s="848"/>
      <c r="N114" s="848"/>
      <c r="O114" s="848"/>
      <c r="P114" s="848"/>
      <c r="Y114" s="849"/>
    </row>
    <row r="115" spans="5:25">
      <c r="E115" s="848"/>
      <c r="F115" s="848"/>
      <c r="G115" s="848"/>
      <c r="H115" s="848"/>
      <c r="I115" s="848"/>
      <c r="J115" s="848"/>
      <c r="K115" s="848"/>
      <c r="L115" s="848"/>
      <c r="M115" s="848"/>
      <c r="N115" s="848"/>
      <c r="O115" s="848"/>
      <c r="P115" s="848"/>
      <c r="Y115" s="849"/>
    </row>
    <row r="116" spans="5:25">
      <c r="E116" s="848"/>
      <c r="F116" s="848"/>
      <c r="G116" s="848"/>
      <c r="H116" s="848"/>
      <c r="I116" s="848"/>
      <c r="J116" s="848"/>
      <c r="K116" s="848"/>
      <c r="L116" s="848"/>
      <c r="M116" s="848"/>
      <c r="N116" s="848"/>
      <c r="O116" s="848"/>
      <c r="P116" s="848"/>
      <c r="Y116" s="849"/>
    </row>
    <row r="117" spans="5:25">
      <c r="E117" s="848"/>
      <c r="F117" s="848"/>
      <c r="G117" s="848"/>
      <c r="H117" s="848"/>
      <c r="I117" s="848"/>
      <c r="J117" s="848"/>
      <c r="K117" s="848"/>
      <c r="L117" s="848"/>
      <c r="M117" s="848"/>
      <c r="N117" s="848"/>
      <c r="O117" s="848"/>
      <c r="P117" s="848"/>
      <c r="Y117" s="849"/>
    </row>
    <row r="118" spans="5:25">
      <c r="E118" s="848"/>
      <c r="F118" s="848"/>
      <c r="G118" s="848"/>
      <c r="H118" s="848"/>
      <c r="I118" s="848"/>
      <c r="J118" s="848"/>
      <c r="K118" s="848"/>
      <c r="L118" s="848"/>
      <c r="M118" s="848"/>
      <c r="N118" s="848"/>
      <c r="O118" s="848"/>
      <c r="P118" s="848"/>
      <c r="Y118" s="849"/>
    </row>
    <row r="119" spans="5:25">
      <c r="E119" s="848"/>
      <c r="F119" s="848"/>
      <c r="G119" s="848"/>
      <c r="H119" s="848"/>
      <c r="I119" s="848"/>
      <c r="J119" s="848"/>
      <c r="K119" s="848"/>
      <c r="L119" s="848"/>
      <c r="M119" s="848"/>
      <c r="N119" s="848"/>
      <c r="O119" s="848"/>
      <c r="P119" s="848"/>
      <c r="Y119" s="849"/>
    </row>
    <row r="120" spans="5:25">
      <c r="E120" s="848"/>
      <c r="F120" s="848"/>
      <c r="G120" s="848"/>
      <c r="H120" s="848"/>
      <c r="I120" s="848"/>
      <c r="J120" s="848"/>
      <c r="K120" s="848"/>
      <c r="L120" s="848"/>
      <c r="M120" s="848"/>
      <c r="N120" s="848"/>
      <c r="O120" s="848"/>
      <c r="P120" s="848"/>
      <c r="Y120" s="849"/>
    </row>
    <row r="121" spans="5:25">
      <c r="E121" s="848"/>
      <c r="F121" s="848"/>
      <c r="G121" s="848"/>
      <c r="H121" s="848"/>
      <c r="I121" s="848"/>
      <c r="J121" s="848"/>
      <c r="K121" s="848"/>
      <c r="L121" s="848"/>
      <c r="M121" s="848"/>
      <c r="N121" s="848"/>
      <c r="O121" s="848"/>
      <c r="P121" s="848"/>
      <c r="Y121" s="849"/>
    </row>
    <row r="122" spans="5:25">
      <c r="E122" s="848"/>
      <c r="F122" s="848"/>
      <c r="G122" s="848"/>
      <c r="H122" s="848"/>
      <c r="I122" s="848"/>
      <c r="J122" s="848"/>
      <c r="K122" s="848"/>
      <c r="L122" s="848"/>
      <c r="M122" s="848"/>
      <c r="N122" s="848"/>
      <c r="O122" s="848"/>
      <c r="P122" s="848"/>
      <c r="Y122" s="849"/>
    </row>
    <row r="123" spans="5:25">
      <c r="E123" s="848"/>
      <c r="F123" s="848"/>
      <c r="G123" s="848"/>
      <c r="H123" s="848"/>
      <c r="I123" s="848"/>
      <c r="J123" s="848"/>
      <c r="K123" s="848"/>
      <c r="L123" s="848"/>
      <c r="M123" s="848"/>
      <c r="N123" s="848"/>
      <c r="O123" s="848"/>
      <c r="P123" s="848"/>
      <c r="Y123" s="849"/>
    </row>
    <row r="124" spans="5:25">
      <c r="E124" s="848"/>
      <c r="F124" s="848"/>
      <c r="G124" s="848"/>
      <c r="H124" s="848"/>
      <c r="I124" s="848"/>
      <c r="J124" s="848"/>
      <c r="K124" s="848"/>
      <c r="L124" s="848"/>
      <c r="M124" s="848"/>
      <c r="N124" s="848"/>
      <c r="O124" s="848"/>
      <c r="P124" s="848"/>
      <c r="Y124" s="849"/>
    </row>
    <row r="125" spans="5:25">
      <c r="E125" s="848"/>
      <c r="F125" s="848"/>
      <c r="G125" s="848"/>
      <c r="H125" s="848"/>
      <c r="I125" s="848"/>
      <c r="J125" s="848"/>
      <c r="K125" s="848"/>
      <c r="L125" s="848"/>
      <c r="M125" s="848"/>
      <c r="N125" s="848"/>
      <c r="O125" s="848"/>
      <c r="P125" s="848"/>
      <c r="Y125" s="849"/>
    </row>
    <row r="126" spans="5:25">
      <c r="E126" s="848"/>
      <c r="F126" s="848"/>
      <c r="G126" s="848"/>
      <c r="H126" s="848"/>
      <c r="I126" s="848"/>
      <c r="J126" s="848"/>
      <c r="K126" s="848"/>
      <c r="L126" s="848"/>
      <c r="M126" s="848"/>
      <c r="N126" s="848"/>
      <c r="O126" s="848"/>
      <c r="P126" s="848"/>
      <c r="Y126" s="849"/>
    </row>
    <row r="127" spans="5:25">
      <c r="E127" s="848"/>
      <c r="F127" s="848"/>
      <c r="G127" s="848"/>
      <c r="H127" s="848"/>
      <c r="I127" s="848"/>
      <c r="J127" s="848"/>
      <c r="K127" s="848"/>
      <c r="L127" s="848"/>
      <c r="M127" s="848"/>
      <c r="N127" s="848"/>
      <c r="O127" s="848"/>
      <c r="P127" s="848"/>
      <c r="Y127" s="849"/>
    </row>
    <row r="128" spans="5:25">
      <c r="E128" s="848"/>
      <c r="F128" s="848"/>
      <c r="G128" s="848"/>
      <c r="H128" s="848"/>
      <c r="I128" s="848"/>
      <c r="J128" s="848"/>
      <c r="K128" s="848"/>
      <c r="L128" s="848"/>
      <c r="M128" s="848"/>
      <c r="N128" s="848"/>
      <c r="O128" s="848"/>
      <c r="P128" s="848"/>
      <c r="Y128" s="849"/>
    </row>
    <row r="129" spans="5:25">
      <c r="E129" s="848"/>
      <c r="F129" s="848"/>
      <c r="G129" s="848"/>
      <c r="H129" s="848"/>
      <c r="I129" s="848"/>
      <c r="J129" s="848"/>
      <c r="K129" s="848"/>
      <c r="L129" s="848"/>
      <c r="M129" s="848"/>
      <c r="N129" s="848"/>
      <c r="O129" s="848"/>
      <c r="P129" s="848"/>
      <c r="Y129" s="849"/>
    </row>
    <row r="130" spans="5:25">
      <c r="E130" s="848"/>
      <c r="F130" s="848"/>
      <c r="G130" s="848"/>
      <c r="H130" s="848"/>
      <c r="I130" s="848"/>
      <c r="J130" s="848"/>
      <c r="K130" s="848"/>
      <c r="L130" s="848"/>
      <c r="M130" s="848"/>
      <c r="N130" s="848"/>
      <c r="O130" s="848"/>
      <c r="P130" s="848"/>
      <c r="Y130" s="849"/>
    </row>
    <row r="131" spans="5:25">
      <c r="E131" s="848"/>
      <c r="F131" s="848"/>
      <c r="G131" s="848"/>
      <c r="H131" s="848"/>
      <c r="I131" s="848"/>
      <c r="J131" s="848"/>
      <c r="K131" s="848"/>
      <c r="L131" s="848"/>
      <c r="M131" s="848"/>
      <c r="N131" s="848"/>
      <c r="O131" s="848"/>
      <c r="P131" s="848"/>
      <c r="Y131" s="849"/>
    </row>
    <row r="132" spans="5:25">
      <c r="E132" s="848"/>
      <c r="F132" s="848"/>
      <c r="G132" s="848"/>
      <c r="H132" s="848"/>
      <c r="I132" s="848"/>
      <c r="J132" s="848"/>
      <c r="K132" s="848"/>
      <c r="L132" s="848"/>
      <c r="M132" s="848"/>
      <c r="N132" s="848"/>
      <c r="O132" s="848"/>
      <c r="P132" s="848"/>
      <c r="Y132" s="849"/>
    </row>
    <row r="133" spans="5:25">
      <c r="E133" s="848"/>
      <c r="F133" s="848"/>
      <c r="G133" s="848"/>
      <c r="H133" s="848"/>
      <c r="I133" s="848"/>
      <c r="J133" s="848"/>
      <c r="K133" s="848"/>
      <c r="L133" s="848"/>
      <c r="M133" s="848"/>
      <c r="N133" s="848"/>
      <c r="O133" s="848"/>
      <c r="P133" s="848"/>
      <c r="Y133" s="849"/>
    </row>
    <row r="134" spans="5:25">
      <c r="E134" s="848"/>
      <c r="F134" s="848"/>
      <c r="G134" s="848"/>
      <c r="H134" s="848"/>
      <c r="I134" s="848"/>
      <c r="J134" s="848"/>
      <c r="K134" s="848"/>
      <c r="L134" s="848"/>
      <c r="M134" s="848"/>
      <c r="N134" s="848"/>
      <c r="O134" s="848"/>
      <c r="P134" s="848"/>
      <c r="Y134" s="849"/>
    </row>
    <row r="135" spans="5:25">
      <c r="E135" s="848"/>
      <c r="F135" s="848"/>
      <c r="G135" s="848"/>
      <c r="H135" s="848"/>
      <c r="I135" s="848"/>
      <c r="J135" s="848"/>
      <c r="K135" s="848"/>
      <c r="L135" s="848"/>
      <c r="M135" s="848"/>
      <c r="N135" s="848"/>
      <c r="O135" s="848"/>
      <c r="P135" s="848"/>
      <c r="Y135" s="849"/>
    </row>
    <row r="136" spans="5:25">
      <c r="E136" s="848"/>
      <c r="F136" s="848"/>
      <c r="G136" s="848"/>
      <c r="H136" s="848"/>
      <c r="I136" s="848"/>
      <c r="J136" s="848"/>
      <c r="K136" s="848"/>
      <c r="L136" s="848"/>
      <c r="M136" s="848"/>
      <c r="N136" s="848"/>
      <c r="O136" s="848"/>
      <c r="P136" s="848"/>
      <c r="Y136" s="849"/>
    </row>
    <row r="137" spans="5:25">
      <c r="E137" s="848"/>
      <c r="F137" s="848"/>
      <c r="G137" s="848"/>
      <c r="H137" s="848"/>
      <c r="I137" s="848"/>
      <c r="J137" s="848"/>
      <c r="K137" s="848"/>
      <c r="L137" s="848"/>
      <c r="M137" s="848"/>
      <c r="N137" s="848"/>
      <c r="O137" s="848"/>
      <c r="P137" s="848"/>
      <c r="Y137" s="849"/>
    </row>
    <row r="138" spans="5:25">
      <c r="E138" s="848"/>
      <c r="F138" s="848"/>
      <c r="G138" s="848"/>
      <c r="H138" s="848"/>
      <c r="I138" s="848"/>
      <c r="J138" s="848"/>
      <c r="K138" s="848"/>
      <c r="L138" s="848"/>
      <c r="M138" s="848"/>
      <c r="N138" s="848"/>
      <c r="O138" s="848"/>
      <c r="P138" s="848"/>
      <c r="Y138" s="849"/>
    </row>
    <row r="139" spans="5:25">
      <c r="E139" s="848"/>
      <c r="F139" s="848"/>
      <c r="G139" s="848"/>
      <c r="H139" s="848"/>
      <c r="I139" s="848"/>
      <c r="J139" s="848"/>
      <c r="K139" s="848"/>
      <c r="L139" s="848"/>
      <c r="M139" s="848"/>
      <c r="N139" s="848"/>
      <c r="O139" s="848"/>
      <c r="P139" s="848"/>
      <c r="Y139" s="849"/>
    </row>
    <row r="140" spans="5:25">
      <c r="E140" s="848"/>
      <c r="F140" s="848"/>
      <c r="G140" s="848"/>
      <c r="H140" s="848"/>
      <c r="I140" s="848"/>
      <c r="J140" s="848"/>
      <c r="K140" s="848"/>
      <c r="L140" s="848"/>
      <c r="M140" s="848"/>
      <c r="N140" s="848"/>
      <c r="O140" s="848"/>
      <c r="P140" s="848"/>
      <c r="Y140" s="849"/>
    </row>
    <row r="141" spans="5:25">
      <c r="E141" s="848"/>
      <c r="F141" s="848"/>
      <c r="G141" s="848"/>
      <c r="H141" s="848"/>
      <c r="I141" s="848"/>
      <c r="J141" s="848"/>
      <c r="K141" s="848"/>
      <c r="L141" s="848"/>
      <c r="M141" s="848"/>
      <c r="N141" s="848"/>
      <c r="O141" s="848"/>
      <c r="P141" s="848"/>
      <c r="Y141" s="849"/>
    </row>
    <row r="142" spans="5:25">
      <c r="E142" s="848"/>
      <c r="F142" s="848"/>
      <c r="G142" s="848"/>
      <c r="H142" s="848"/>
      <c r="I142" s="848"/>
      <c r="J142" s="848"/>
      <c r="K142" s="848"/>
      <c r="L142" s="848"/>
      <c r="M142" s="848"/>
      <c r="N142" s="848"/>
      <c r="O142" s="848"/>
      <c r="P142" s="848"/>
      <c r="Y142" s="849"/>
    </row>
    <row r="143" spans="5:25">
      <c r="E143" s="848"/>
      <c r="F143" s="848"/>
      <c r="G143" s="848"/>
      <c r="H143" s="848"/>
      <c r="I143" s="848"/>
      <c r="J143" s="848"/>
      <c r="K143" s="848"/>
      <c r="L143" s="848"/>
      <c r="M143" s="848"/>
      <c r="N143" s="848"/>
      <c r="O143" s="848"/>
      <c r="P143" s="848"/>
      <c r="Y143" s="849"/>
    </row>
    <row r="144" spans="5:25">
      <c r="E144" s="848"/>
      <c r="F144" s="848"/>
      <c r="G144" s="848"/>
      <c r="H144" s="848"/>
      <c r="I144" s="848"/>
      <c r="J144" s="848"/>
      <c r="K144" s="848"/>
      <c r="L144" s="848"/>
      <c r="M144" s="848"/>
      <c r="N144" s="848"/>
      <c r="O144" s="848"/>
      <c r="P144" s="848"/>
      <c r="Y144" s="849"/>
    </row>
    <row r="145" spans="5:25">
      <c r="E145" s="848"/>
      <c r="F145" s="848"/>
      <c r="G145" s="848"/>
      <c r="H145" s="848"/>
      <c r="I145" s="848"/>
      <c r="J145" s="848"/>
      <c r="K145" s="848"/>
      <c r="L145" s="848"/>
      <c r="M145" s="848"/>
      <c r="N145" s="848"/>
      <c r="O145" s="848"/>
      <c r="P145" s="848"/>
      <c r="Y145" s="849"/>
    </row>
    <row r="146" spans="5:25">
      <c r="E146" s="848"/>
      <c r="F146" s="848"/>
      <c r="G146" s="848"/>
      <c r="H146" s="848"/>
      <c r="I146" s="848"/>
      <c r="J146" s="848"/>
      <c r="K146" s="848"/>
      <c r="L146" s="848"/>
      <c r="M146" s="848"/>
      <c r="N146" s="848"/>
      <c r="O146" s="848"/>
      <c r="P146" s="848"/>
      <c r="Y146" s="849"/>
    </row>
    <row r="147" spans="5:25">
      <c r="E147" s="848"/>
      <c r="F147" s="848"/>
      <c r="G147" s="848"/>
      <c r="H147" s="848"/>
      <c r="I147" s="848"/>
      <c r="J147" s="848"/>
      <c r="K147" s="848"/>
      <c r="L147" s="848"/>
      <c r="M147" s="848"/>
      <c r="N147" s="848"/>
      <c r="O147" s="848"/>
      <c r="P147" s="848"/>
      <c r="Y147" s="849"/>
    </row>
    <row r="148" spans="5:25">
      <c r="E148" s="848"/>
      <c r="F148" s="848"/>
      <c r="G148" s="848"/>
      <c r="H148" s="848"/>
      <c r="I148" s="848"/>
      <c r="J148" s="848"/>
      <c r="K148" s="848"/>
      <c r="L148" s="848"/>
      <c r="M148" s="848"/>
      <c r="N148" s="848"/>
      <c r="O148" s="848"/>
      <c r="P148" s="848"/>
      <c r="Y148" s="849"/>
    </row>
    <row r="149" spans="5:25">
      <c r="E149" s="848"/>
      <c r="F149" s="848"/>
      <c r="G149" s="848"/>
      <c r="H149" s="848"/>
      <c r="I149" s="848"/>
      <c r="J149" s="848"/>
      <c r="K149" s="848"/>
      <c r="L149" s="848"/>
      <c r="M149" s="848"/>
      <c r="N149" s="848"/>
      <c r="O149" s="848"/>
      <c r="P149" s="848"/>
      <c r="Y149" s="849"/>
    </row>
    <row r="150" spans="5:25">
      <c r="E150" s="848"/>
      <c r="F150" s="848"/>
      <c r="G150" s="848"/>
      <c r="H150" s="848"/>
      <c r="I150" s="848"/>
      <c r="J150" s="848"/>
      <c r="K150" s="848"/>
      <c r="L150" s="848"/>
      <c r="M150" s="848"/>
      <c r="N150" s="848"/>
      <c r="O150" s="848"/>
      <c r="P150" s="848"/>
      <c r="Y150" s="849"/>
    </row>
    <row r="151" spans="5:25">
      <c r="E151" s="848"/>
      <c r="F151" s="848"/>
      <c r="G151" s="848"/>
      <c r="H151" s="848"/>
      <c r="I151" s="848"/>
      <c r="J151" s="848"/>
      <c r="K151" s="848"/>
      <c r="L151" s="848"/>
      <c r="M151" s="848"/>
      <c r="N151" s="848"/>
      <c r="O151" s="848"/>
      <c r="P151" s="848"/>
      <c r="Y151" s="849"/>
    </row>
    <row r="152" spans="5:25">
      <c r="E152" s="848"/>
      <c r="F152" s="848"/>
      <c r="G152" s="848"/>
      <c r="H152" s="848"/>
      <c r="I152" s="848"/>
      <c r="J152" s="848"/>
      <c r="K152" s="848"/>
      <c r="L152" s="848"/>
      <c r="M152" s="848"/>
      <c r="N152" s="848"/>
      <c r="O152" s="848"/>
      <c r="P152" s="848"/>
      <c r="Y152" s="849"/>
    </row>
    <row r="153" spans="5:25">
      <c r="E153" s="848"/>
      <c r="F153" s="848"/>
      <c r="G153" s="848"/>
      <c r="H153" s="848"/>
      <c r="I153" s="848"/>
      <c r="J153" s="848"/>
      <c r="K153" s="848"/>
      <c r="L153" s="848"/>
      <c r="M153" s="848"/>
      <c r="N153" s="848"/>
      <c r="O153" s="848"/>
      <c r="P153" s="848"/>
      <c r="Y153" s="849"/>
    </row>
    <row r="154" spans="5:25">
      <c r="E154" s="848"/>
      <c r="F154" s="848"/>
      <c r="G154" s="848"/>
      <c r="H154" s="848"/>
      <c r="I154" s="848"/>
      <c r="J154" s="848"/>
      <c r="K154" s="848"/>
      <c r="L154" s="848"/>
      <c r="M154" s="848"/>
      <c r="N154" s="848"/>
      <c r="O154" s="848"/>
      <c r="P154" s="848"/>
      <c r="Y154" s="849"/>
    </row>
    <row r="155" spans="5:25">
      <c r="E155" s="848"/>
      <c r="F155" s="848"/>
      <c r="G155" s="848"/>
      <c r="H155" s="848"/>
      <c r="I155" s="848"/>
      <c r="J155" s="848"/>
      <c r="K155" s="848"/>
      <c r="L155" s="848"/>
      <c r="M155" s="848"/>
      <c r="N155" s="848"/>
      <c r="O155" s="848"/>
      <c r="P155" s="848"/>
      <c r="Y155" s="849"/>
    </row>
    <row r="156" spans="5:25">
      <c r="E156" s="848"/>
      <c r="F156" s="848"/>
      <c r="G156" s="848"/>
      <c r="H156" s="848"/>
      <c r="I156" s="848"/>
      <c r="J156" s="848"/>
      <c r="K156" s="848"/>
      <c r="L156" s="848"/>
      <c r="M156" s="848"/>
      <c r="N156" s="848"/>
      <c r="O156" s="848"/>
      <c r="P156" s="848"/>
      <c r="Y156" s="849"/>
    </row>
    <row r="157" spans="5:25">
      <c r="E157" s="848"/>
      <c r="F157" s="848"/>
      <c r="G157" s="848"/>
      <c r="H157" s="848"/>
      <c r="I157" s="848"/>
      <c r="J157" s="848"/>
      <c r="K157" s="848"/>
      <c r="L157" s="848"/>
      <c r="M157" s="848"/>
      <c r="N157" s="848"/>
      <c r="O157" s="848"/>
      <c r="P157" s="848"/>
      <c r="Y157" s="849"/>
    </row>
    <row r="158" spans="5:25">
      <c r="E158" s="848"/>
      <c r="F158" s="848"/>
      <c r="G158" s="848"/>
      <c r="H158" s="848"/>
      <c r="I158" s="848"/>
      <c r="J158" s="848"/>
      <c r="K158" s="848"/>
      <c r="L158" s="848"/>
      <c r="M158" s="848"/>
      <c r="N158" s="848"/>
      <c r="O158" s="848"/>
      <c r="P158" s="848"/>
      <c r="Y158" s="849"/>
    </row>
    <row r="159" spans="5:25">
      <c r="E159" s="848"/>
      <c r="F159" s="848"/>
      <c r="G159" s="848"/>
      <c r="H159" s="848"/>
      <c r="I159" s="848"/>
      <c r="J159" s="848"/>
      <c r="K159" s="848"/>
      <c r="L159" s="848"/>
      <c r="M159" s="848"/>
      <c r="N159" s="848"/>
      <c r="O159" s="848"/>
      <c r="P159" s="848"/>
      <c r="Y159" s="849"/>
    </row>
    <row r="160" spans="5:25">
      <c r="E160" s="848"/>
      <c r="F160" s="848"/>
      <c r="G160" s="848"/>
      <c r="H160" s="848"/>
      <c r="I160" s="848"/>
      <c r="J160" s="848"/>
      <c r="K160" s="848"/>
      <c r="L160" s="848"/>
      <c r="M160" s="848"/>
      <c r="N160" s="848"/>
      <c r="O160" s="848"/>
      <c r="P160" s="848"/>
      <c r="Y160" s="849"/>
    </row>
    <row r="161" spans="1:25">
      <c r="E161" s="848"/>
      <c r="F161" s="848"/>
      <c r="G161" s="848"/>
      <c r="H161" s="848"/>
      <c r="I161" s="848"/>
      <c r="J161" s="848"/>
      <c r="K161" s="848"/>
      <c r="L161" s="848"/>
      <c r="M161" s="848"/>
      <c r="N161" s="848"/>
      <c r="O161" s="848"/>
      <c r="P161" s="848"/>
      <c r="Y161" s="849"/>
    </row>
    <row r="162" spans="1:25">
      <c r="E162" s="848"/>
      <c r="F162" s="848"/>
      <c r="G162" s="848"/>
      <c r="H162" s="848"/>
      <c r="I162" s="848"/>
      <c r="J162" s="848"/>
      <c r="K162" s="848"/>
      <c r="L162" s="848"/>
      <c r="M162" s="848"/>
      <c r="N162" s="848"/>
      <c r="O162" s="848"/>
      <c r="P162" s="848"/>
      <c r="Y162" s="849"/>
    </row>
    <row r="163" spans="1:25">
      <c r="E163" s="848"/>
      <c r="F163" s="848"/>
      <c r="G163" s="848"/>
      <c r="H163" s="848"/>
      <c r="I163" s="848"/>
      <c r="J163" s="848"/>
      <c r="K163" s="848"/>
      <c r="L163" s="848"/>
      <c r="M163" s="848"/>
      <c r="N163" s="848"/>
      <c r="O163" s="848"/>
      <c r="P163" s="848"/>
      <c r="Y163" s="849"/>
    </row>
    <row r="164" spans="1:25">
      <c r="E164" s="848"/>
      <c r="F164" s="848"/>
      <c r="G164" s="848"/>
      <c r="H164" s="848"/>
      <c r="I164" s="848"/>
      <c r="J164" s="848"/>
      <c r="K164" s="848"/>
      <c r="L164" s="848"/>
      <c r="M164" s="848"/>
      <c r="N164" s="848"/>
      <c r="O164" s="848"/>
      <c r="P164" s="848"/>
      <c r="Y164" s="849"/>
    </row>
    <row r="165" spans="1:25">
      <c r="E165" s="848"/>
      <c r="F165" s="848"/>
      <c r="G165" s="848"/>
      <c r="H165" s="848"/>
      <c r="I165" s="848"/>
      <c r="J165" s="848"/>
      <c r="K165" s="848"/>
      <c r="L165" s="848"/>
      <c r="M165" s="848"/>
      <c r="N165" s="848"/>
      <c r="O165" s="848"/>
      <c r="P165" s="848"/>
      <c r="Y165" s="849"/>
    </row>
    <row r="166" spans="1:25">
      <c r="E166" s="848"/>
      <c r="F166" s="848"/>
      <c r="G166" s="848"/>
      <c r="H166" s="848"/>
      <c r="I166" s="848"/>
      <c r="J166" s="848"/>
      <c r="K166" s="848"/>
      <c r="L166" s="848"/>
      <c r="M166" s="848"/>
      <c r="N166" s="848"/>
      <c r="O166" s="848"/>
      <c r="P166" s="848"/>
      <c r="Y166" s="849"/>
    </row>
    <row r="167" spans="1:25">
      <c r="E167" s="848"/>
      <c r="F167" s="848"/>
      <c r="G167" s="848"/>
      <c r="H167" s="848"/>
      <c r="I167" s="848"/>
      <c r="J167" s="848"/>
      <c r="K167" s="848"/>
      <c r="L167" s="848"/>
      <c r="M167" s="848"/>
      <c r="N167" s="848"/>
      <c r="O167" s="848"/>
      <c r="P167" s="848"/>
      <c r="Y167" s="849"/>
    </row>
    <row r="168" spans="1:25">
      <c r="E168" s="848"/>
      <c r="F168" s="848"/>
      <c r="G168" s="848"/>
      <c r="H168" s="848"/>
      <c r="I168" s="848"/>
      <c r="J168" s="848"/>
      <c r="K168" s="848"/>
      <c r="L168" s="848"/>
      <c r="M168" s="848"/>
      <c r="N168" s="848"/>
      <c r="O168" s="848"/>
      <c r="P168" s="848"/>
      <c r="Y168" s="849"/>
    </row>
    <row r="169" spans="1:25">
      <c r="E169" s="848"/>
      <c r="F169" s="848"/>
      <c r="G169" s="848"/>
      <c r="H169" s="848"/>
      <c r="I169" s="848"/>
      <c r="J169" s="848"/>
      <c r="K169" s="848"/>
      <c r="L169" s="848"/>
      <c r="M169" s="848"/>
      <c r="N169" s="848"/>
      <c r="O169" s="848"/>
      <c r="P169" s="848"/>
      <c r="Y169" s="849"/>
    </row>
    <row r="170" spans="1:25">
      <c r="E170" s="848"/>
      <c r="F170" s="848"/>
      <c r="G170" s="848"/>
      <c r="H170" s="848"/>
      <c r="I170" s="848"/>
      <c r="J170" s="848"/>
      <c r="K170" s="848"/>
      <c r="L170" s="848"/>
      <c r="M170" s="848"/>
      <c r="N170" s="848"/>
      <c r="O170" s="848"/>
      <c r="P170" s="848"/>
      <c r="Y170" s="849"/>
    </row>
    <row r="171" spans="1:25">
      <c r="E171" s="848"/>
      <c r="F171" s="848"/>
      <c r="G171" s="848"/>
      <c r="H171" s="848"/>
      <c r="I171" s="848"/>
      <c r="J171" s="848"/>
      <c r="K171" s="848"/>
      <c r="L171" s="848"/>
      <c r="M171" s="848"/>
      <c r="N171" s="848"/>
      <c r="O171" s="848"/>
      <c r="P171" s="848"/>
      <c r="Y171" s="849"/>
    </row>
    <row r="172" spans="1:25">
      <c r="E172" s="848"/>
      <c r="F172" s="848"/>
      <c r="G172" s="848"/>
      <c r="H172" s="848"/>
      <c r="I172" s="848"/>
      <c r="J172" s="848"/>
      <c r="K172" s="848"/>
      <c r="L172" s="848"/>
      <c r="M172" s="848"/>
      <c r="N172" s="848"/>
      <c r="O172" s="848"/>
      <c r="P172" s="848"/>
      <c r="Y172" s="849"/>
    </row>
    <row r="173" spans="1:25">
      <c r="E173" s="848"/>
      <c r="F173" s="848"/>
      <c r="G173" s="848"/>
      <c r="H173" s="848"/>
      <c r="I173" s="848"/>
      <c r="J173" s="848"/>
      <c r="K173" s="848"/>
      <c r="L173" s="848"/>
      <c r="M173" s="848"/>
      <c r="N173" s="848"/>
      <c r="O173" s="848"/>
      <c r="P173" s="848"/>
      <c r="Y173" s="849"/>
    </row>
    <row r="174" spans="1:25">
      <c r="E174" s="848"/>
      <c r="F174" s="848"/>
      <c r="G174" s="848"/>
      <c r="H174" s="848"/>
      <c r="I174" s="848"/>
      <c r="J174" s="848"/>
      <c r="K174" s="848"/>
      <c r="L174" s="848"/>
      <c r="M174" s="848"/>
      <c r="N174" s="848"/>
      <c r="O174" s="848"/>
      <c r="P174" s="848"/>
      <c r="Y174" s="849"/>
    </row>
    <row r="175" spans="1:25">
      <c r="E175" s="848"/>
      <c r="F175" s="848"/>
      <c r="G175" s="848"/>
      <c r="H175" s="848"/>
      <c r="I175" s="848"/>
      <c r="J175" s="848"/>
      <c r="K175" s="848"/>
      <c r="L175" s="848"/>
      <c r="M175" s="848"/>
      <c r="N175" s="848"/>
      <c r="O175" s="848"/>
      <c r="P175" s="848"/>
      <c r="Y175" s="849"/>
    </row>
    <row r="176" spans="1:25" ht="12.75">
      <c r="A176" s="1769"/>
      <c r="B176" s="1769" t="s">
        <v>85</v>
      </c>
      <c r="C176" s="1769"/>
      <c r="D176" s="1769"/>
      <c r="E176" s="1769"/>
      <c r="F176" s="1769"/>
      <c r="G176" s="1769"/>
      <c r="H176" s="1769"/>
      <c r="I176" s="1769"/>
      <c r="J176" s="1769"/>
      <c r="K176" s="1769"/>
      <c r="L176" s="1769"/>
      <c r="M176" s="1769"/>
      <c r="N176" s="1769"/>
      <c r="O176" s="1769"/>
      <c r="P176" s="1769"/>
      <c r="Q176" s="1769"/>
      <c r="R176" s="1769"/>
      <c r="S176" s="1769"/>
      <c r="T176" s="1769"/>
      <c r="U176" s="1769"/>
      <c r="V176" s="1769"/>
      <c r="W176" s="1769"/>
      <c r="X176" s="1769"/>
      <c r="Y176" s="1769"/>
    </row>
    <row r="177" spans="1:25" ht="12.75">
      <c r="A177" s="1769"/>
      <c r="B177" s="848"/>
      <c r="C177" s="848"/>
      <c r="D177" s="848"/>
      <c r="E177" s="848"/>
      <c r="F177" s="848"/>
      <c r="G177" s="848"/>
      <c r="H177" s="848"/>
      <c r="I177" s="848"/>
      <c r="J177" s="848"/>
      <c r="K177" s="848"/>
      <c r="L177" s="848"/>
      <c r="M177" s="848"/>
      <c r="N177" s="848"/>
      <c r="O177" s="848"/>
      <c r="P177" s="848"/>
      <c r="Y177" s="1769"/>
    </row>
    <row r="178" spans="1:25" ht="12.75">
      <c r="A178" s="1769"/>
      <c r="B178" s="848"/>
      <c r="C178" s="848"/>
      <c r="D178" s="848"/>
      <c r="E178" s="848"/>
      <c r="F178" s="848"/>
      <c r="G178" s="848"/>
      <c r="H178" s="848"/>
      <c r="I178" s="848"/>
      <c r="J178" s="848"/>
      <c r="K178" s="848"/>
      <c r="L178" s="848"/>
      <c r="M178" s="848"/>
      <c r="N178" s="848"/>
      <c r="O178" s="848"/>
      <c r="P178" s="848"/>
      <c r="Y178" s="1769"/>
    </row>
    <row r="179" spans="1:25" ht="12.75">
      <c r="A179" s="1769"/>
      <c r="B179" s="848"/>
      <c r="C179" s="848"/>
      <c r="D179" s="848"/>
      <c r="E179" s="848"/>
      <c r="F179" s="848"/>
      <c r="G179" s="848"/>
      <c r="H179" s="848"/>
      <c r="I179" s="848"/>
      <c r="J179" s="848"/>
      <c r="K179" s="848"/>
      <c r="L179" s="848"/>
      <c r="M179" s="848"/>
      <c r="N179" s="848"/>
      <c r="O179" s="848"/>
      <c r="P179" s="848"/>
      <c r="Y179" s="1769"/>
    </row>
    <row r="180" spans="1:25" ht="12.75">
      <c r="A180" s="1769"/>
      <c r="B180" s="848"/>
      <c r="C180" s="848"/>
      <c r="D180" s="848"/>
      <c r="E180" s="848"/>
      <c r="F180" s="848"/>
      <c r="G180" s="848"/>
      <c r="H180" s="848"/>
      <c r="I180" s="848"/>
      <c r="J180" s="848"/>
      <c r="K180" s="848"/>
      <c r="L180" s="848"/>
      <c r="M180" s="848"/>
      <c r="N180" s="848"/>
      <c r="O180" s="848"/>
      <c r="P180" s="848"/>
      <c r="Y180" s="1769"/>
    </row>
    <row r="181" spans="1:25" ht="12.75">
      <c r="A181" s="1769"/>
      <c r="B181" s="848"/>
      <c r="C181" s="848"/>
      <c r="D181" s="848"/>
      <c r="E181" s="848"/>
      <c r="F181" s="848"/>
      <c r="G181" s="848"/>
      <c r="H181" s="848"/>
      <c r="I181" s="848"/>
      <c r="J181" s="848"/>
      <c r="K181" s="848"/>
      <c r="L181" s="848"/>
      <c r="M181" s="848"/>
      <c r="N181" s="848"/>
      <c r="O181" s="848"/>
      <c r="P181" s="848"/>
      <c r="Y181" s="1769"/>
    </row>
    <row r="182" spans="1:25" ht="12.75">
      <c r="A182" s="1769"/>
      <c r="B182" s="848"/>
      <c r="C182" s="848"/>
      <c r="D182" s="848"/>
      <c r="E182" s="848"/>
      <c r="F182" s="848"/>
      <c r="G182" s="848"/>
      <c r="H182" s="848"/>
      <c r="I182" s="848"/>
      <c r="J182" s="848"/>
      <c r="K182" s="848"/>
      <c r="L182" s="848"/>
      <c r="M182" s="848"/>
      <c r="N182" s="848"/>
      <c r="O182" s="848"/>
      <c r="P182" s="848"/>
      <c r="Y182" s="1769"/>
    </row>
    <row r="183" spans="1:25" ht="12.75">
      <c r="A183" s="1769"/>
      <c r="B183" s="848"/>
      <c r="C183" s="848"/>
      <c r="D183" s="848"/>
      <c r="E183" s="848"/>
      <c r="F183" s="848"/>
      <c r="G183" s="848"/>
      <c r="H183" s="848"/>
      <c r="I183" s="848"/>
      <c r="J183" s="848"/>
      <c r="K183" s="848"/>
      <c r="L183" s="848"/>
      <c r="M183" s="848"/>
      <c r="N183" s="848"/>
      <c r="O183" s="848"/>
      <c r="P183" s="848"/>
      <c r="Y183" s="1769"/>
    </row>
    <row r="184" spans="1:25" ht="12.75">
      <c r="A184" s="1769"/>
      <c r="B184" s="848"/>
      <c r="C184" s="848"/>
      <c r="D184" s="848"/>
      <c r="E184" s="848"/>
      <c r="F184" s="848"/>
      <c r="G184" s="848"/>
      <c r="H184" s="848"/>
      <c r="I184" s="848"/>
      <c r="J184" s="848"/>
      <c r="K184" s="848"/>
      <c r="L184" s="848"/>
      <c r="M184" s="848"/>
      <c r="N184" s="848"/>
      <c r="O184" s="848"/>
      <c r="P184" s="848"/>
      <c r="Y184" s="1769"/>
    </row>
    <row r="185" spans="1:25" ht="12.75">
      <c r="A185" s="1769"/>
      <c r="B185" s="848"/>
      <c r="C185" s="848"/>
      <c r="D185" s="848"/>
      <c r="E185" s="848"/>
      <c r="F185" s="848"/>
      <c r="G185" s="848"/>
      <c r="H185" s="848"/>
      <c r="I185" s="848"/>
      <c r="J185" s="848"/>
      <c r="K185" s="848"/>
      <c r="L185" s="848"/>
      <c r="M185" s="848"/>
      <c r="N185" s="848"/>
      <c r="O185" s="848"/>
      <c r="P185" s="848"/>
      <c r="Y185" s="1769"/>
    </row>
    <row r="186" spans="1:25" ht="12.75">
      <c r="A186" s="1769"/>
      <c r="B186" s="848"/>
      <c r="C186" s="848"/>
      <c r="D186" s="848"/>
      <c r="E186" s="848"/>
      <c r="F186" s="848"/>
      <c r="G186" s="848"/>
      <c r="H186" s="848"/>
      <c r="I186" s="848"/>
      <c r="J186" s="848"/>
      <c r="K186" s="848"/>
      <c r="L186" s="848"/>
      <c r="M186" s="848"/>
      <c r="N186" s="848"/>
      <c r="O186" s="848"/>
      <c r="P186" s="848"/>
      <c r="Y186" s="1769"/>
    </row>
    <row r="187" spans="1:25" ht="12.75">
      <c r="A187" s="1769"/>
      <c r="B187" s="1769"/>
      <c r="C187" s="1769"/>
      <c r="D187" s="1769"/>
      <c r="E187" s="1769"/>
      <c r="F187" s="1769"/>
      <c r="G187" s="1769"/>
      <c r="H187" s="1769"/>
      <c r="I187" s="1769"/>
      <c r="J187" s="1769"/>
      <c r="K187" s="1769"/>
      <c r="L187" s="1769"/>
      <c r="M187" s="1769"/>
      <c r="N187" s="1769"/>
      <c r="O187" s="1769"/>
      <c r="P187" s="1769"/>
      <c r="Q187" s="1769"/>
      <c r="R187" s="1769"/>
      <c r="S187" s="1769"/>
      <c r="T187" s="1769"/>
      <c r="U187" s="1769"/>
      <c r="V187" s="1769"/>
      <c r="W187" s="1769"/>
      <c r="X187" s="1769"/>
      <c r="Y187" s="1769"/>
    </row>
    <row r="188" spans="1:25">
      <c r="E188" s="848"/>
      <c r="F188" s="848"/>
      <c r="G188" s="848"/>
      <c r="H188" s="848"/>
      <c r="I188" s="848"/>
      <c r="J188" s="848"/>
      <c r="K188" s="848"/>
      <c r="L188" s="848"/>
      <c r="M188" s="848"/>
      <c r="N188" s="848"/>
      <c r="O188" s="848"/>
      <c r="P188" s="848"/>
      <c r="Y188" s="849"/>
    </row>
    <row r="189" spans="1:25">
      <c r="E189" s="848"/>
      <c r="F189" s="848"/>
      <c r="G189" s="848"/>
      <c r="H189" s="848"/>
      <c r="I189" s="848"/>
      <c r="J189" s="848"/>
      <c r="K189" s="848"/>
      <c r="L189" s="848"/>
      <c r="M189" s="848"/>
      <c r="N189" s="848"/>
      <c r="O189" s="848"/>
      <c r="P189" s="848"/>
      <c r="Y189" s="849"/>
    </row>
    <row r="190" spans="1:25">
      <c r="E190" s="848"/>
      <c r="F190" s="848"/>
      <c r="G190" s="848"/>
      <c r="H190" s="848"/>
      <c r="I190" s="848"/>
      <c r="J190" s="848"/>
      <c r="K190" s="848"/>
      <c r="L190" s="848"/>
      <c r="M190" s="848"/>
      <c r="N190" s="848"/>
      <c r="O190" s="848"/>
      <c r="P190" s="848"/>
      <c r="Y190" s="849"/>
    </row>
    <row r="191" spans="1:25">
      <c r="E191" s="848"/>
      <c r="F191" s="848"/>
      <c r="G191" s="848"/>
      <c r="H191" s="848"/>
      <c r="I191" s="848"/>
      <c r="J191" s="848"/>
      <c r="K191" s="848"/>
      <c r="L191" s="848"/>
      <c r="M191" s="848"/>
      <c r="N191" s="848"/>
      <c r="O191" s="848"/>
      <c r="P191" s="848"/>
      <c r="Y191" s="849"/>
    </row>
    <row r="192" spans="1:25">
      <c r="E192" s="848"/>
      <c r="F192" s="848"/>
      <c r="G192" s="848"/>
      <c r="H192" s="848"/>
      <c r="I192" s="848"/>
      <c r="J192" s="848"/>
      <c r="K192" s="848"/>
      <c r="L192" s="848"/>
      <c r="M192" s="848"/>
      <c r="N192" s="848"/>
      <c r="O192" s="848"/>
      <c r="P192" s="848"/>
      <c r="Y192" s="849"/>
    </row>
    <row r="193" spans="5:25">
      <c r="E193" s="848"/>
      <c r="F193" s="848"/>
      <c r="G193" s="848"/>
      <c r="H193" s="848"/>
      <c r="I193" s="848"/>
      <c r="J193" s="848"/>
      <c r="K193" s="848"/>
      <c r="L193" s="848"/>
      <c r="M193" s="848"/>
      <c r="N193" s="848"/>
      <c r="O193" s="848"/>
      <c r="P193" s="848"/>
      <c r="Y193" s="849"/>
    </row>
    <row r="194" spans="5:25">
      <c r="E194" s="848"/>
      <c r="F194" s="848"/>
      <c r="G194" s="848"/>
      <c r="H194" s="848"/>
      <c r="I194" s="848"/>
      <c r="J194" s="848"/>
      <c r="K194" s="848"/>
      <c r="L194" s="848"/>
      <c r="M194" s="848"/>
      <c r="N194" s="848"/>
      <c r="O194" s="848"/>
      <c r="P194" s="848"/>
      <c r="Y194" s="849"/>
    </row>
    <row r="195" spans="5:25">
      <c r="E195" s="848"/>
      <c r="F195" s="848"/>
      <c r="G195" s="848"/>
      <c r="H195" s="848"/>
      <c r="I195" s="848"/>
      <c r="J195" s="848"/>
      <c r="K195" s="848"/>
      <c r="L195" s="848"/>
      <c r="M195" s="848"/>
      <c r="N195" s="848"/>
      <c r="O195" s="848"/>
      <c r="P195" s="848"/>
      <c r="Y195" s="849"/>
    </row>
    <row r="196" spans="5:25">
      <c r="E196" s="848"/>
      <c r="F196" s="848"/>
      <c r="G196" s="848"/>
      <c r="H196" s="848"/>
      <c r="I196" s="848"/>
      <c r="J196" s="848"/>
      <c r="K196" s="848"/>
      <c r="L196" s="848"/>
      <c r="M196" s="848"/>
      <c r="N196" s="848"/>
      <c r="O196" s="848"/>
      <c r="P196" s="848"/>
      <c r="Y196" s="849"/>
    </row>
    <row r="197" spans="5:25">
      <c r="E197" s="848"/>
      <c r="F197" s="848"/>
      <c r="G197" s="848"/>
      <c r="H197" s="848"/>
      <c r="I197" s="848"/>
      <c r="J197" s="848"/>
      <c r="K197" s="848"/>
      <c r="L197" s="848"/>
      <c r="M197" s="848"/>
      <c r="N197" s="848"/>
      <c r="O197" s="848"/>
      <c r="P197" s="848"/>
      <c r="Y197" s="849"/>
    </row>
    <row r="198" spans="5:25">
      <c r="E198" s="848"/>
      <c r="F198" s="848"/>
      <c r="G198" s="848"/>
      <c r="H198" s="848"/>
      <c r="I198" s="848"/>
      <c r="J198" s="848"/>
      <c r="K198" s="848"/>
      <c r="L198" s="848"/>
      <c r="M198" s="848"/>
      <c r="N198" s="848"/>
      <c r="O198" s="848"/>
      <c r="P198" s="848"/>
      <c r="Y198" s="849"/>
    </row>
    <row r="199" spans="5:25">
      <c r="E199" s="848"/>
      <c r="F199" s="848"/>
      <c r="G199" s="848"/>
      <c r="H199" s="848"/>
      <c r="I199" s="848"/>
      <c r="J199" s="848"/>
      <c r="K199" s="848"/>
      <c r="L199" s="848"/>
      <c r="M199" s="848"/>
      <c r="N199" s="848"/>
      <c r="O199" s="848"/>
      <c r="P199" s="848"/>
      <c r="Y199" s="849"/>
    </row>
    <row r="200" spans="5:25">
      <c r="E200" s="848"/>
      <c r="F200" s="848"/>
      <c r="G200" s="848"/>
      <c r="H200" s="848"/>
      <c r="I200" s="848"/>
      <c r="J200" s="848"/>
      <c r="K200" s="848"/>
      <c r="L200" s="848"/>
      <c r="M200" s="848"/>
      <c r="N200" s="848"/>
      <c r="O200" s="848"/>
      <c r="P200" s="848"/>
      <c r="Y200" s="849"/>
    </row>
    <row r="201" spans="5:25">
      <c r="E201" s="848"/>
      <c r="F201" s="848"/>
      <c r="G201" s="848"/>
      <c r="H201" s="848"/>
      <c r="I201" s="848"/>
      <c r="J201" s="848"/>
      <c r="K201" s="848"/>
      <c r="L201" s="848"/>
      <c r="M201" s="848"/>
      <c r="N201" s="848"/>
      <c r="O201" s="848"/>
      <c r="P201" s="848"/>
      <c r="Y201" s="849"/>
    </row>
    <row r="202" spans="5:25">
      <c r="E202" s="848"/>
      <c r="F202" s="848"/>
      <c r="G202" s="848"/>
      <c r="H202" s="848"/>
      <c r="I202" s="848"/>
      <c r="J202" s="848"/>
      <c r="K202" s="848"/>
      <c r="L202" s="848"/>
      <c r="M202" s="848"/>
      <c r="N202" s="848"/>
      <c r="O202" s="848"/>
      <c r="P202" s="848"/>
      <c r="Y202" s="849"/>
    </row>
    <row r="203" spans="5:25">
      <c r="E203" s="848"/>
      <c r="F203" s="848"/>
      <c r="G203" s="848"/>
      <c r="H203" s="848"/>
      <c r="I203" s="848"/>
      <c r="J203" s="848"/>
      <c r="K203" s="848"/>
      <c r="L203" s="848"/>
      <c r="M203" s="848"/>
      <c r="N203" s="848"/>
      <c r="O203" s="848"/>
      <c r="P203" s="848"/>
      <c r="Y203" s="849"/>
    </row>
    <row r="204" spans="5:25">
      <c r="E204" s="848"/>
      <c r="F204" s="848"/>
      <c r="G204" s="848"/>
      <c r="H204" s="848"/>
      <c r="I204" s="848"/>
      <c r="J204" s="848"/>
      <c r="K204" s="848"/>
      <c r="L204" s="848"/>
      <c r="M204" s="848"/>
      <c r="N204" s="848"/>
      <c r="O204" s="848"/>
      <c r="P204" s="848"/>
      <c r="Y204" s="849"/>
    </row>
    <row r="205" spans="5:25">
      <c r="E205" s="848"/>
      <c r="F205" s="848"/>
      <c r="G205" s="848"/>
      <c r="H205" s="848"/>
      <c r="I205" s="848"/>
      <c r="J205" s="848"/>
      <c r="K205" s="848"/>
      <c r="L205" s="848"/>
      <c r="M205" s="848"/>
      <c r="N205" s="848"/>
      <c r="O205" s="848"/>
      <c r="P205" s="848"/>
      <c r="Y205" s="849"/>
    </row>
    <row r="206" spans="5:25">
      <c r="E206" s="848"/>
      <c r="F206" s="848"/>
      <c r="G206" s="848"/>
      <c r="H206" s="848"/>
      <c r="I206" s="848"/>
      <c r="J206" s="848"/>
      <c r="K206" s="848"/>
      <c r="L206" s="848"/>
      <c r="M206" s="848"/>
      <c r="N206" s="848"/>
      <c r="O206" s="848"/>
      <c r="P206" s="848"/>
      <c r="Y206" s="849"/>
    </row>
    <row r="207" spans="5:25">
      <c r="E207" s="848"/>
      <c r="F207" s="848"/>
      <c r="G207" s="848"/>
      <c r="H207" s="848"/>
      <c r="I207" s="848"/>
      <c r="J207" s="848"/>
      <c r="K207" s="848"/>
      <c r="L207" s="848"/>
      <c r="M207" s="848"/>
      <c r="N207" s="848"/>
      <c r="O207" s="848"/>
      <c r="P207" s="848"/>
      <c r="Y207" s="849"/>
    </row>
    <row r="208" spans="5:25">
      <c r="E208" s="848"/>
      <c r="F208" s="848"/>
      <c r="G208" s="848"/>
      <c r="H208" s="848"/>
      <c r="I208" s="848"/>
      <c r="J208" s="848"/>
      <c r="K208" s="848"/>
      <c r="L208" s="848"/>
      <c r="M208" s="848"/>
      <c r="N208" s="848"/>
      <c r="O208" s="848"/>
      <c r="P208" s="848"/>
      <c r="Y208" s="849"/>
    </row>
    <row r="209" spans="5:25">
      <c r="E209" s="848"/>
      <c r="F209" s="848"/>
      <c r="G209" s="848"/>
      <c r="H209" s="848"/>
      <c r="I209" s="848"/>
      <c r="J209" s="848"/>
      <c r="K209" s="848"/>
      <c r="L209" s="848"/>
      <c r="M209" s="848"/>
      <c r="N209" s="848"/>
      <c r="O209" s="848"/>
      <c r="P209" s="848"/>
      <c r="Y209" s="849"/>
    </row>
    <row r="210" spans="5:25">
      <c r="E210" s="848"/>
      <c r="F210" s="848"/>
      <c r="G210" s="848"/>
      <c r="H210" s="848"/>
      <c r="I210" s="848"/>
      <c r="J210" s="848"/>
      <c r="K210" s="848"/>
      <c r="L210" s="848"/>
      <c r="M210" s="848"/>
      <c r="N210" s="848"/>
      <c r="O210" s="848"/>
      <c r="P210" s="848"/>
      <c r="Y210" s="849"/>
    </row>
    <row r="211" spans="5:25">
      <c r="E211" s="848"/>
      <c r="F211" s="848"/>
      <c r="G211" s="848"/>
      <c r="H211" s="848"/>
      <c r="I211" s="848"/>
      <c r="J211" s="848"/>
      <c r="K211" s="848"/>
      <c r="L211" s="848"/>
      <c r="M211" s="848"/>
      <c r="N211" s="848"/>
      <c r="O211" s="848"/>
      <c r="P211" s="848"/>
      <c r="Y211" s="849"/>
    </row>
    <row r="212" spans="5:25">
      <c r="E212" s="848"/>
      <c r="F212" s="848"/>
      <c r="G212" s="848"/>
      <c r="H212" s="848"/>
      <c r="I212" s="848"/>
      <c r="J212" s="848"/>
      <c r="K212" s="848"/>
      <c r="L212" s="848"/>
      <c r="M212" s="848"/>
      <c r="N212" s="848"/>
      <c r="O212" s="848"/>
      <c r="P212" s="848"/>
      <c r="Y212" s="849"/>
    </row>
    <row r="213" spans="5:25">
      <c r="E213" s="848"/>
      <c r="F213" s="848"/>
      <c r="G213" s="848"/>
      <c r="H213" s="848"/>
      <c r="I213" s="848"/>
      <c r="J213" s="848"/>
      <c r="K213" s="848"/>
      <c r="L213" s="848"/>
      <c r="M213" s="848"/>
      <c r="N213" s="848"/>
      <c r="O213" s="848"/>
      <c r="P213" s="848"/>
      <c r="Y213" s="849"/>
    </row>
    <row r="214" spans="5:25">
      <c r="E214" s="848"/>
      <c r="F214" s="848"/>
      <c r="G214" s="848"/>
      <c r="H214" s="848"/>
      <c r="I214" s="848"/>
      <c r="J214" s="848"/>
      <c r="K214" s="848"/>
      <c r="L214" s="848"/>
      <c r="M214" s="848"/>
      <c r="N214" s="848"/>
      <c r="O214" s="848"/>
      <c r="P214" s="848"/>
      <c r="Y214" s="849"/>
    </row>
    <row r="215" spans="5:25">
      <c r="E215" s="848"/>
      <c r="F215" s="848"/>
      <c r="G215" s="848"/>
      <c r="H215" s="848"/>
      <c r="I215" s="848"/>
      <c r="J215" s="848"/>
      <c r="K215" s="848"/>
      <c r="L215" s="848"/>
      <c r="M215" s="848"/>
      <c r="N215" s="848"/>
      <c r="O215" s="848"/>
      <c r="P215" s="848"/>
      <c r="Y215" s="849"/>
    </row>
    <row r="216" spans="5:25">
      <c r="E216" s="848"/>
      <c r="F216" s="848"/>
      <c r="G216" s="848"/>
      <c r="H216" s="848"/>
      <c r="I216" s="848"/>
      <c r="J216" s="848"/>
      <c r="K216" s="848"/>
      <c r="L216" s="848"/>
      <c r="M216" s="848"/>
      <c r="N216" s="848"/>
      <c r="O216" s="848"/>
      <c r="P216" s="848"/>
      <c r="Y216" s="849"/>
    </row>
    <row r="217" spans="5:25">
      <c r="E217" s="848"/>
      <c r="F217" s="848"/>
      <c r="G217" s="848"/>
      <c r="H217" s="848"/>
      <c r="I217" s="848"/>
      <c r="J217" s="848"/>
      <c r="K217" s="848"/>
      <c r="L217" s="848"/>
      <c r="M217" s="848"/>
      <c r="N217" s="848"/>
      <c r="O217" s="848"/>
      <c r="P217" s="848"/>
      <c r="Y217" s="849"/>
    </row>
    <row r="218" spans="5:25">
      <c r="E218" s="848"/>
      <c r="F218" s="848"/>
      <c r="G218" s="848"/>
      <c r="H218" s="848"/>
      <c r="I218" s="848"/>
      <c r="J218" s="848"/>
      <c r="K218" s="848"/>
      <c r="L218" s="848"/>
      <c r="M218" s="848"/>
      <c r="N218" s="848"/>
      <c r="O218" s="848"/>
      <c r="P218" s="848"/>
      <c r="Y218" s="849"/>
    </row>
    <row r="219" spans="5:25">
      <c r="E219" s="848"/>
      <c r="F219" s="848"/>
      <c r="G219" s="848"/>
      <c r="H219" s="848"/>
      <c r="I219" s="848"/>
      <c r="J219" s="848"/>
      <c r="K219" s="848"/>
      <c r="L219" s="848"/>
      <c r="M219" s="848"/>
      <c r="N219" s="848"/>
      <c r="O219" s="848"/>
      <c r="P219" s="848"/>
      <c r="Y219" s="849"/>
    </row>
    <row r="220" spans="5:25">
      <c r="E220" s="848"/>
      <c r="F220" s="848"/>
      <c r="G220" s="848"/>
      <c r="H220" s="848"/>
      <c r="I220" s="848"/>
      <c r="J220" s="848"/>
      <c r="K220" s="848"/>
      <c r="L220" s="848"/>
      <c r="M220" s="848"/>
      <c r="N220" s="848"/>
      <c r="O220" s="848"/>
      <c r="P220" s="848"/>
      <c r="Y220" s="849"/>
    </row>
    <row r="221" spans="5:25">
      <c r="E221" s="848"/>
      <c r="F221" s="848"/>
      <c r="G221" s="848"/>
      <c r="H221" s="848"/>
      <c r="I221" s="848"/>
      <c r="J221" s="848"/>
      <c r="K221" s="848"/>
      <c r="L221" s="848"/>
      <c r="M221" s="848"/>
      <c r="N221" s="848"/>
      <c r="O221" s="848"/>
      <c r="P221" s="848"/>
      <c r="Y221" s="849"/>
    </row>
    <row r="222" spans="5:25">
      <c r="E222" s="848"/>
      <c r="F222" s="848"/>
      <c r="G222" s="848"/>
      <c r="H222" s="848"/>
      <c r="I222" s="848"/>
      <c r="J222" s="848"/>
      <c r="K222" s="848"/>
      <c r="L222" s="848"/>
      <c r="M222" s="848"/>
      <c r="N222" s="848"/>
      <c r="O222" s="848"/>
      <c r="P222" s="848"/>
      <c r="Y222" s="849"/>
    </row>
    <row r="223" spans="5:25">
      <c r="E223" s="848"/>
      <c r="F223" s="848"/>
      <c r="G223" s="848"/>
      <c r="H223" s="848"/>
      <c r="I223" s="848"/>
      <c r="J223" s="848"/>
      <c r="K223" s="848"/>
      <c r="L223" s="848"/>
      <c r="M223" s="848"/>
      <c r="N223" s="848"/>
      <c r="O223" s="848"/>
      <c r="P223" s="848"/>
      <c r="Y223" s="849"/>
    </row>
    <row r="224" spans="5:25">
      <c r="E224" s="848"/>
      <c r="F224" s="848"/>
      <c r="G224" s="848"/>
      <c r="H224" s="848"/>
      <c r="I224" s="848"/>
      <c r="J224" s="848"/>
      <c r="K224" s="848"/>
      <c r="L224" s="848"/>
      <c r="M224" s="848"/>
      <c r="N224" s="848"/>
      <c r="O224" s="848"/>
      <c r="P224" s="848"/>
      <c r="Y224" s="849"/>
    </row>
    <row r="225" spans="5:25">
      <c r="E225" s="848"/>
      <c r="F225" s="848"/>
      <c r="G225" s="848"/>
      <c r="H225" s="848"/>
      <c r="I225" s="848"/>
      <c r="J225" s="848"/>
      <c r="K225" s="848"/>
      <c r="L225" s="848"/>
      <c r="M225" s="848"/>
      <c r="N225" s="848"/>
      <c r="O225" s="848"/>
      <c r="P225" s="848"/>
      <c r="Y225" s="849"/>
    </row>
    <row r="226" spans="5:25">
      <c r="E226" s="848"/>
      <c r="F226" s="848"/>
      <c r="G226" s="848"/>
      <c r="H226" s="848"/>
      <c r="I226" s="848"/>
      <c r="J226" s="848"/>
      <c r="K226" s="848"/>
      <c r="L226" s="848"/>
      <c r="M226" s="848"/>
      <c r="N226" s="848"/>
      <c r="O226" s="848"/>
      <c r="P226" s="848"/>
      <c r="Y226" s="849"/>
    </row>
    <row r="227" spans="5:25">
      <c r="E227" s="848"/>
      <c r="F227" s="848"/>
      <c r="G227" s="848"/>
      <c r="H227" s="848"/>
      <c r="I227" s="848"/>
      <c r="J227" s="848"/>
      <c r="K227" s="848"/>
      <c r="L227" s="848"/>
      <c r="M227" s="848"/>
      <c r="N227" s="848"/>
      <c r="O227" s="848"/>
      <c r="P227" s="848"/>
      <c r="Y227" s="849"/>
    </row>
    <row r="228" spans="5:25">
      <c r="E228" s="848"/>
      <c r="F228" s="848"/>
      <c r="G228" s="848"/>
      <c r="H228" s="848"/>
      <c r="I228" s="848"/>
      <c r="J228" s="848"/>
      <c r="K228" s="848"/>
      <c r="L228" s="848"/>
      <c r="M228" s="848"/>
      <c r="N228" s="848"/>
      <c r="O228" s="848"/>
      <c r="P228" s="848"/>
      <c r="Y228" s="849"/>
    </row>
    <row r="229" spans="5:25">
      <c r="E229" s="848"/>
      <c r="F229" s="848"/>
      <c r="G229" s="848"/>
      <c r="H229" s="848"/>
      <c r="I229" s="848"/>
      <c r="J229" s="848"/>
      <c r="K229" s="848"/>
      <c r="L229" s="848"/>
      <c r="M229" s="848"/>
      <c r="N229" s="848"/>
      <c r="O229" s="848"/>
      <c r="P229" s="848"/>
      <c r="Y229" s="849"/>
    </row>
    <row r="230" spans="5:25">
      <c r="E230" s="848"/>
      <c r="F230" s="848"/>
      <c r="G230" s="848"/>
      <c r="H230" s="848"/>
      <c r="I230" s="848"/>
      <c r="J230" s="848"/>
      <c r="K230" s="848"/>
      <c r="L230" s="848"/>
      <c r="M230" s="848"/>
      <c r="N230" s="848"/>
      <c r="O230" s="848"/>
      <c r="P230" s="848"/>
      <c r="Y230" s="849"/>
    </row>
    <row r="231" spans="5:25">
      <c r="E231" s="848"/>
      <c r="F231" s="848"/>
      <c r="G231" s="848"/>
      <c r="H231" s="848"/>
      <c r="I231" s="848"/>
      <c r="J231" s="848"/>
      <c r="K231" s="848"/>
      <c r="L231" s="848"/>
      <c r="M231" s="848"/>
      <c r="N231" s="848"/>
      <c r="O231" s="848"/>
      <c r="P231" s="848"/>
      <c r="Y231" s="849"/>
    </row>
    <row r="232" spans="5:25">
      <c r="E232" s="848"/>
      <c r="F232" s="848"/>
      <c r="G232" s="848"/>
      <c r="H232" s="848"/>
      <c r="I232" s="848"/>
      <c r="J232" s="848"/>
      <c r="K232" s="848"/>
      <c r="L232" s="848"/>
      <c r="M232" s="848"/>
      <c r="N232" s="848"/>
      <c r="O232" s="848"/>
      <c r="P232" s="848"/>
      <c r="Y232" s="849"/>
    </row>
    <row r="233" spans="5:25">
      <c r="E233" s="848"/>
      <c r="F233" s="848"/>
      <c r="G233" s="848"/>
      <c r="H233" s="848"/>
      <c r="I233" s="848"/>
      <c r="J233" s="848"/>
      <c r="K233" s="848"/>
      <c r="L233" s="848"/>
      <c r="M233" s="848"/>
      <c r="N233" s="848"/>
      <c r="O233" s="848"/>
      <c r="P233" s="848"/>
      <c r="Y233" s="849"/>
    </row>
    <row r="234" spans="5:25">
      <c r="E234" s="848"/>
      <c r="F234" s="848"/>
      <c r="G234" s="848"/>
      <c r="H234" s="848"/>
      <c r="I234" s="848"/>
      <c r="J234" s="848"/>
      <c r="K234" s="848"/>
      <c r="L234" s="848"/>
      <c r="M234" s="848"/>
      <c r="N234" s="848"/>
      <c r="O234" s="848"/>
      <c r="P234" s="848"/>
      <c r="Y234" s="849"/>
    </row>
    <row r="235" spans="5:25">
      <c r="E235" s="848"/>
      <c r="F235" s="848"/>
      <c r="G235" s="848"/>
      <c r="H235" s="848"/>
      <c r="I235" s="848"/>
      <c r="J235" s="848"/>
      <c r="K235" s="848"/>
      <c r="L235" s="848"/>
      <c r="M235" s="848"/>
      <c r="N235" s="848"/>
      <c r="O235" s="848"/>
      <c r="P235" s="848"/>
      <c r="Y235" s="849"/>
    </row>
    <row r="236" spans="5:25">
      <c r="E236" s="848"/>
      <c r="F236" s="848"/>
      <c r="G236" s="848"/>
      <c r="H236" s="848"/>
      <c r="I236" s="848"/>
      <c r="J236" s="848"/>
      <c r="K236" s="848"/>
      <c r="L236" s="848"/>
      <c r="M236" s="848"/>
      <c r="N236" s="848"/>
      <c r="O236" s="848"/>
      <c r="P236" s="848"/>
      <c r="Y236" s="849"/>
    </row>
    <row r="237" spans="5:25">
      <c r="E237" s="848"/>
      <c r="F237" s="848"/>
      <c r="G237" s="848"/>
      <c r="H237" s="848"/>
      <c r="I237" s="848"/>
      <c r="J237" s="848"/>
      <c r="K237" s="848"/>
      <c r="L237" s="848"/>
      <c r="M237" s="848"/>
      <c r="N237" s="848"/>
      <c r="O237" s="848"/>
      <c r="P237" s="848"/>
      <c r="Y237" s="849"/>
    </row>
    <row r="238" spans="5:25">
      <c r="E238" s="848"/>
      <c r="F238" s="848"/>
      <c r="G238" s="848"/>
      <c r="H238" s="848"/>
      <c r="I238" s="848"/>
      <c r="J238" s="848"/>
      <c r="K238" s="848"/>
      <c r="L238" s="848"/>
      <c r="M238" s="848"/>
      <c r="N238" s="848"/>
      <c r="O238" s="848"/>
      <c r="P238" s="848"/>
      <c r="Y238" s="849"/>
    </row>
    <row r="239" spans="5:25">
      <c r="E239" s="848"/>
      <c r="F239" s="848"/>
      <c r="G239" s="848"/>
      <c r="H239" s="848"/>
      <c r="I239" s="848"/>
      <c r="J239" s="848"/>
      <c r="K239" s="848"/>
      <c r="L239" s="848"/>
      <c r="M239" s="848"/>
      <c r="N239" s="848"/>
      <c r="O239" s="848"/>
      <c r="P239" s="848"/>
      <c r="Y239" s="849"/>
    </row>
    <row r="240" spans="5:25">
      <c r="E240" s="848"/>
      <c r="F240" s="848"/>
      <c r="G240" s="848"/>
      <c r="H240" s="848"/>
      <c r="I240" s="848"/>
      <c r="J240" s="848"/>
      <c r="K240" s="848"/>
      <c r="L240" s="848"/>
      <c r="M240" s="848"/>
      <c r="N240" s="848"/>
      <c r="O240" s="848"/>
      <c r="P240" s="848"/>
      <c r="Y240" s="849"/>
    </row>
    <row r="241" spans="5:25">
      <c r="E241" s="848"/>
      <c r="F241" s="848"/>
      <c r="G241" s="848"/>
      <c r="H241" s="848"/>
      <c r="I241" s="848"/>
      <c r="J241" s="848"/>
      <c r="K241" s="848"/>
      <c r="L241" s="848"/>
      <c r="M241" s="848"/>
      <c r="N241" s="848"/>
      <c r="O241" s="848"/>
      <c r="P241" s="848"/>
      <c r="Y241" s="849"/>
    </row>
    <row r="242" spans="5:25">
      <c r="E242" s="848"/>
      <c r="F242" s="848"/>
      <c r="G242" s="848"/>
      <c r="H242" s="848"/>
      <c r="I242" s="848"/>
      <c r="J242" s="848"/>
      <c r="K242" s="848"/>
      <c r="L242" s="848"/>
      <c r="M242" s="848"/>
      <c r="N242" s="848"/>
      <c r="O242" s="848"/>
      <c r="P242" s="848"/>
      <c r="Y242" s="849"/>
    </row>
    <row r="243" spans="5:25">
      <c r="E243" s="848"/>
      <c r="F243" s="848"/>
      <c r="G243" s="848"/>
      <c r="H243" s="848"/>
      <c r="I243" s="848"/>
      <c r="J243" s="848"/>
      <c r="K243" s="848"/>
      <c r="L243" s="848"/>
      <c r="M243" s="848"/>
      <c r="N243" s="848"/>
      <c r="O243" s="848"/>
      <c r="P243" s="848"/>
      <c r="Y243" s="849"/>
    </row>
    <row r="244" spans="5:25">
      <c r="E244" s="848"/>
      <c r="F244" s="848"/>
      <c r="G244" s="848"/>
      <c r="H244" s="848"/>
      <c r="I244" s="848"/>
      <c r="J244" s="848"/>
      <c r="K244" s="848"/>
      <c r="L244" s="848"/>
      <c r="M244" s="848"/>
      <c r="N244" s="848"/>
      <c r="O244" s="848"/>
      <c r="P244" s="848"/>
      <c r="Y244" s="849"/>
    </row>
    <row r="245" spans="5:25">
      <c r="E245" s="848"/>
      <c r="F245" s="848"/>
      <c r="G245" s="848"/>
      <c r="H245" s="848"/>
      <c r="I245" s="848"/>
      <c r="J245" s="848"/>
      <c r="K245" s="848"/>
      <c r="L245" s="848"/>
      <c r="M245" s="848"/>
      <c r="N245" s="848"/>
      <c r="O245" s="848"/>
      <c r="P245" s="848"/>
      <c r="Y245" s="849"/>
    </row>
    <row r="246" spans="5:25">
      <c r="E246" s="848"/>
      <c r="F246" s="848"/>
      <c r="G246" s="848"/>
      <c r="H246" s="848"/>
      <c r="I246" s="848"/>
      <c r="J246" s="848"/>
      <c r="K246" s="848"/>
      <c r="L246" s="848"/>
      <c r="M246" s="848"/>
      <c r="N246" s="848"/>
      <c r="O246" s="848"/>
      <c r="P246" s="848"/>
      <c r="Y246" s="849"/>
    </row>
    <row r="247" spans="5:25">
      <c r="E247" s="848"/>
      <c r="F247" s="848"/>
      <c r="G247" s="848"/>
      <c r="H247" s="848"/>
      <c r="I247" s="848"/>
      <c r="J247" s="848"/>
      <c r="K247" s="848"/>
      <c r="L247" s="848"/>
      <c r="M247" s="848"/>
      <c r="N247" s="848"/>
      <c r="O247" s="848"/>
      <c r="P247" s="848"/>
      <c r="Y247" s="849"/>
    </row>
    <row r="248" spans="5:25">
      <c r="E248" s="848"/>
      <c r="F248" s="848"/>
      <c r="G248" s="848"/>
      <c r="H248" s="848"/>
      <c r="I248" s="848"/>
      <c r="J248" s="848"/>
      <c r="K248" s="848"/>
      <c r="L248" s="848"/>
      <c r="M248" s="848"/>
      <c r="N248" s="848"/>
      <c r="O248" s="848"/>
      <c r="P248" s="848"/>
      <c r="Y248" s="849"/>
    </row>
    <row r="249" spans="5:25">
      <c r="E249" s="848"/>
      <c r="F249" s="848"/>
      <c r="G249" s="848"/>
      <c r="H249" s="848"/>
      <c r="I249" s="848"/>
      <c r="J249" s="848"/>
      <c r="K249" s="848"/>
      <c r="L249" s="848"/>
      <c r="M249" s="848"/>
      <c r="N249" s="848"/>
      <c r="O249" s="848"/>
      <c r="P249" s="848"/>
      <c r="Y249" s="849"/>
    </row>
    <row r="250" spans="5:25">
      <c r="E250" s="848"/>
      <c r="F250" s="848"/>
      <c r="G250" s="848"/>
      <c r="H250" s="848"/>
      <c r="I250" s="848"/>
      <c r="J250" s="848"/>
      <c r="K250" s="848"/>
      <c r="L250" s="848"/>
      <c r="M250" s="848"/>
      <c r="N250" s="848"/>
      <c r="O250" s="848"/>
      <c r="P250" s="848"/>
      <c r="Y250" s="849"/>
    </row>
    <row r="251" spans="5:25">
      <c r="E251" s="848"/>
      <c r="F251" s="848"/>
      <c r="G251" s="848"/>
      <c r="H251" s="848"/>
      <c r="I251" s="848"/>
      <c r="J251" s="848"/>
      <c r="K251" s="848"/>
      <c r="L251" s="848"/>
      <c r="M251" s="848"/>
      <c r="N251" s="848"/>
      <c r="O251" s="848"/>
      <c r="P251" s="848"/>
      <c r="Y251" s="849"/>
    </row>
    <row r="252" spans="5:25">
      <c r="E252" s="848"/>
      <c r="F252" s="848"/>
      <c r="G252" s="848"/>
      <c r="H252" s="848"/>
      <c r="I252" s="848"/>
      <c r="J252" s="848"/>
      <c r="K252" s="848"/>
      <c r="L252" s="848"/>
      <c r="M252" s="848"/>
      <c r="N252" s="848"/>
      <c r="O252" s="848"/>
      <c r="P252" s="848"/>
      <c r="Y252" s="849"/>
    </row>
    <row r="253" spans="5:25">
      <c r="E253" s="848"/>
      <c r="F253" s="848"/>
      <c r="G253" s="848"/>
      <c r="H253" s="848"/>
      <c r="I253" s="848"/>
      <c r="J253" s="848"/>
      <c r="K253" s="848"/>
      <c r="L253" s="848"/>
      <c r="M253" s="848"/>
      <c r="N253" s="848"/>
      <c r="O253" s="848"/>
      <c r="P253" s="848"/>
      <c r="Y253" s="849"/>
    </row>
    <row r="254" spans="5:25">
      <c r="E254" s="848"/>
      <c r="F254" s="848"/>
      <c r="G254" s="848"/>
      <c r="H254" s="848"/>
      <c r="I254" s="848"/>
      <c r="J254" s="848"/>
      <c r="K254" s="848"/>
      <c r="L254" s="848"/>
      <c r="M254" s="848"/>
      <c r="N254" s="848"/>
      <c r="O254" s="848"/>
      <c r="P254" s="848"/>
      <c r="Y254" s="849"/>
    </row>
    <row r="255" spans="5:25">
      <c r="E255" s="848"/>
      <c r="F255" s="848"/>
      <c r="G255" s="848"/>
      <c r="H255" s="848"/>
      <c r="I255" s="848"/>
      <c r="J255" s="848"/>
      <c r="K255" s="848"/>
      <c r="L255" s="848"/>
      <c r="M255" s="848"/>
      <c r="N255" s="848"/>
      <c r="O255" s="848"/>
      <c r="P255" s="848"/>
      <c r="Y255" s="849"/>
    </row>
    <row r="256" spans="5:25">
      <c r="E256" s="848"/>
      <c r="F256" s="848"/>
      <c r="G256" s="848"/>
      <c r="H256" s="848"/>
      <c r="I256" s="848"/>
      <c r="J256" s="848"/>
      <c r="K256" s="848"/>
      <c r="L256" s="848"/>
      <c r="M256" s="848"/>
      <c r="N256" s="848"/>
      <c r="O256" s="848"/>
      <c r="P256" s="848"/>
      <c r="Y256" s="849"/>
    </row>
    <row r="257" spans="5:25">
      <c r="E257" s="848"/>
      <c r="F257" s="848"/>
      <c r="G257" s="848"/>
      <c r="H257" s="848"/>
      <c r="I257" s="848"/>
      <c r="J257" s="848"/>
      <c r="K257" s="848"/>
      <c r="L257" s="848"/>
      <c r="M257" s="848"/>
      <c r="N257" s="848"/>
      <c r="O257" s="848"/>
      <c r="P257" s="848"/>
      <c r="Y257" s="849"/>
    </row>
    <row r="258" spans="5:25">
      <c r="E258" s="848"/>
      <c r="F258" s="848"/>
      <c r="G258" s="848"/>
      <c r="H258" s="848"/>
      <c r="I258" s="848"/>
      <c r="J258" s="848"/>
      <c r="K258" s="848"/>
      <c r="L258" s="848"/>
      <c r="M258" s="848"/>
      <c r="N258" s="848"/>
      <c r="O258" s="848"/>
      <c r="P258" s="848"/>
      <c r="Y258" s="849"/>
    </row>
    <row r="259" spans="5:25">
      <c r="E259" s="848"/>
      <c r="F259" s="848"/>
      <c r="G259" s="848"/>
      <c r="H259" s="848"/>
      <c r="I259" s="848"/>
      <c r="J259" s="848"/>
      <c r="K259" s="848"/>
      <c r="L259" s="848"/>
      <c r="M259" s="848"/>
      <c r="N259" s="848"/>
      <c r="O259" s="848"/>
      <c r="P259" s="848"/>
      <c r="Y259" s="849"/>
    </row>
    <row r="260" spans="5:25">
      <c r="E260" s="848"/>
      <c r="F260" s="848"/>
      <c r="G260" s="848"/>
      <c r="H260" s="848"/>
      <c r="I260" s="848"/>
      <c r="J260" s="848"/>
      <c r="K260" s="848"/>
      <c r="L260" s="848"/>
      <c r="M260" s="848"/>
      <c r="N260" s="848"/>
      <c r="O260" s="848"/>
      <c r="P260" s="848"/>
      <c r="Y260" s="849"/>
    </row>
    <row r="261" spans="5:25">
      <c r="E261" s="848"/>
      <c r="F261" s="848"/>
      <c r="G261" s="848"/>
      <c r="H261" s="848"/>
      <c r="I261" s="848"/>
      <c r="J261" s="848"/>
      <c r="K261" s="848"/>
      <c r="L261" s="848"/>
      <c r="M261" s="848"/>
      <c r="N261" s="848"/>
      <c r="O261" s="848"/>
      <c r="P261" s="848"/>
      <c r="Y261" s="849"/>
    </row>
    <row r="262" spans="5:25">
      <c r="E262" s="848"/>
      <c r="F262" s="848"/>
      <c r="G262" s="848"/>
      <c r="H262" s="848"/>
      <c r="I262" s="848"/>
      <c r="J262" s="848"/>
      <c r="K262" s="848"/>
      <c r="L262" s="848"/>
      <c r="M262" s="848"/>
      <c r="N262" s="848"/>
      <c r="O262" s="848"/>
      <c r="P262" s="848"/>
      <c r="Y262" s="849"/>
    </row>
    <row r="263" spans="5:25">
      <c r="E263" s="848"/>
      <c r="F263" s="848"/>
      <c r="G263" s="848"/>
      <c r="H263" s="848"/>
      <c r="I263" s="848"/>
      <c r="J263" s="848"/>
      <c r="K263" s="848"/>
      <c r="L263" s="848"/>
      <c r="M263" s="848"/>
      <c r="N263" s="848"/>
      <c r="O263" s="848"/>
      <c r="P263" s="848"/>
      <c r="Y263" s="849"/>
    </row>
    <row r="264" spans="5:25">
      <c r="E264" s="848"/>
      <c r="F264" s="848"/>
      <c r="G264" s="848"/>
      <c r="H264" s="848"/>
      <c r="I264" s="848"/>
      <c r="J264" s="848"/>
      <c r="K264" s="848"/>
      <c r="L264" s="848"/>
      <c r="M264" s="848"/>
      <c r="N264" s="848"/>
      <c r="O264" s="848"/>
      <c r="P264" s="848"/>
      <c r="Y264" s="849"/>
    </row>
    <row r="265" spans="5:25">
      <c r="E265" s="848"/>
      <c r="F265" s="848"/>
      <c r="G265" s="848"/>
      <c r="H265" s="848"/>
      <c r="I265" s="848"/>
      <c r="J265" s="848"/>
      <c r="K265" s="848"/>
      <c r="L265" s="848"/>
      <c r="M265" s="848"/>
      <c r="N265" s="848"/>
      <c r="O265" s="848"/>
      <c r="P265" s="848"/>
      <c r="Y265" s="849"/>
    </row>
    <row r="266" spans="5:25">
      <c r="E266" s="848"/>
      <c r="F266" s="848"/>
      <c r="G266" s="848"/>
      <c r="H266" s="848"/>
      <c r="I266" s="848"/>
      <c r="J266" s="848"/>
      <c r="K266" s="848"/>
      <c r="L266" s="848"/>
      <c r="M266" s="848"/>
      <c r="N266" s="848"/>
      <c r="O266" s="848"/>
      <c r="P266" s="848"/>
      <c r="Y266" s="849"/>
    </row>
    <row r="267" spans="5:25">
      <c r="E267" s="848"/>
      <c r="F267" s="848"/>
      <c r="G267" s="848"/>
      <c r="H267" s="848"/>
      <c r="I267" s="848"/>
      <c r="J267" s="848"/>
      <c r="K267" s="848"/>
      <c r="L267" s="848"/>
      <c r="M267" s="848"/>
      <c r="N267" s="848"/>
      <c r="O267" s="848"/>
      <c r="P267" s="848"/>
      <c r="Y267" s="849"/>
    </row>
    <row r="268" spans="5:25">
      <c r="E268" s="848"/>
      <c r="F268" s="848"/>
      <c r="G268" s="848"/>
      <c r="H268" s="848"/>
      <c r="I268" s="848"/>
      <c r="J268" s="848"/>
      <c r="K268" s="848"/>
      <c r="L268" s="848"/>
      <c r="M268" s="848"/>
      <c r="N268" s="848"/>
      <c r="O268" s="848"/>
      <c r="P268" s="848"/>
      <c r="Y268" s="849"/>
    </row>
    <row r="269" spans="5:25">
      <c r="E269" s="848"/>
      <c r="F269" s="848"/>
      <c r="G269" s="848"/>
      <c r="H269" s="848"/>
      <c r="I269" s="848"/>
      <c r="J269" s="848"/>
      <c r="K269" s="848"/>
      <c r="L269" s="848"/>
      <c r="M269" s="848"/>
      <c r="N269" s="848"/>
      <c r="O269" s="848"/>
      <c r="P269" s="848"/>
      <c r="Y269" s="849"/>
    </row>
    <row r="270" spans="5:25">
      <c r="E270" s="848"/>
      <c r="F270" s="848"/>
      <c r="G270" s="848"/>
      <c r="H270" s="848"/>
      <c r="I270" s="848"/>
      <c r="J270" s="848"/>
      <c r="K270" s="848"/>
      <c r="L270" s="848"/>
      <c r="M270" s="848"/>
      <c r="N270" s="848"/>
      <c r="O270" s="848"/>
      <c r="P270" s="848"/>
      <c r="Y270" s="849"/>
    </row>
    <row r="271" spans="5:25">
      <c r="E271" s="848"/>
      <c r="F271" s="848"/>
      <c r="G271" s="848"/>
      <c r="H271" s="848"/>
      <c r="I271" s="848"/>
      <c r="J271" s="848"/>
      <c r="K271" s="848"/>
      <c r="L271" s="848"/>
      <c r="M271" s="848"/>
      <c r="N271" s="848"/>
      <c r="O271" s="848"/>
      <c r="P271" s="848"/>
      <c r="Y271" s="849"/>
    </row>
    <row r="272" spans="5:25">
      <c r="E272" s="848"/>
      <c r="F272" s="848"/>
      <c r="G272" s="848"/>
      <c r="H272" s="848"/>
      <c r="I272" s="848"/>
      <c r="J272" s="848"/>
      <c r="K272" s="848"/>
      <c r="L272" s="848"/>
      <c r="M272" s="848"/>
      <c r="N272" s="848"/>
      <c r="O272" s="848"/>
      <c r="P272" s="848"/>
      <c r="Y272" s="849"/>
    </row>
    <row r="273" spans="5:25">
      <c r="E273" s="848"/>
      <c r="F273" s="848"/>
      <c r="G273" s="848"/>
      <c r="H273" s="848"/>
      <c r="I273" s="848"/>
      <c r="J273" s="848"/>
      <c r="K273" s="848"/>
      <c r="L273" s="848"/>
      <c r="M273" s="848"/>
      <c r="N273" s="848"/>
      <c r="O273" s="848"/>
      <c r="P273" s="848"/>
      <c r="Y273" s="849"/>
    </row>
    <row r="274" spans="5:25">
      <c r="E274" s="848"/>
      <c r="F274" s="848"/>
      <c r="G274" s="848"/>
      <c r="H274" s="848"/>
      <c r="I274" s="848"/>
      <c r="J274" s="848"/>
      <c r="K274" s="848"/>
      <c r="L274" s="848"/>
      <c r="M274" s="848"/>
      <c r="N274" s="848"/>
      <c r="O274" s="848"/>
      <c r="P274" s="848"/>
      <c r="Y274" s="849"/>
    </row>
    <row r="275" spans="5:25">
      <c r="E275" s="848"/>
      <c r="F275" s="848"/>
      <c r="G275" s="848"/>
      <c r="H275" s="848"/>
      <c r="I275" s="848"/>
      <c r="J275" s="848"/>
      <c r="K275" s="848"/>
      <c r="L275" s="848"/>
      <c r="M275" s="848"/>
      <c r="N275" s="848"/>
      <c r="O275" s="848"/>
      <c r="P275" s="848"/>
      <c r="Y275" s="849"/>
    </row>
    <row r="276" spans="5:25">
      <c r="E276" s="848"/>
      <c r="F276" s="848"/>
      <c r="G276" s="848"/>
      <c r="H276" s="848"/>
      <c r="I276" s="848"/>
      <c r="J276" s="848"/>
      <c r="K276" s="848"/>
      <c r="L276" s="848"/>
      <c r="M276" s="848"/>
      <c r="N276" s="848"/>
      <c r="O276" s="848"/>
      <c r="P276" s="848"/>
      <c r="Y276" s="849"/>
    </row>
    <row r="277" spans="5:25">
      <c r="E277" s="848"/>
      <c r="F277" s="848"/>
      <c r="G277" s="848"/>
      <c r="H277" s="848"/>
      <c r="I277" s="848"/>
      <c r="J277" s="848"/>
      <c r="K277" s="848"/>
      <c r="L277" s="848"/>
      <c r="M277" s="848"/>
      <c r="N277" s="848"/>
      <c r="O277" s="848"/>
      <c r="P277" s="848"/>
      <c r="Y277" s="849"/>
    </row>
    <row r="278" spans="5:25">
      <c r="E278" s="848"/>
      <c r="F278" s="848"/>
      <c r="G278" s="848"/>
      <c r="H278" s="848"/>
      <c r="I278" s="848"/>
      <c r="J278" s="848"/>
      <c r="K278" s="848"/>
      <c r="L278" s="848"/>
      <c r="M278" s="848"/>
      <c r="N278" s="848"/>
      <c r="O278" s="848"/>
      <c r="P278" s="848"/>
      <c r="Y278" s="849"/>
    </row>
    <row r="279" spans="5:25">
      <c r="E279" s="848"/>
      <c r="F279" s="848"/>
      <c r="G279" s="848"/>
      <c r="H279" s="848"/>
      <c r="I279" s="848"/>
      <c r="J279" s="848"/>
      <c r="K279" s="848"/>
      <c r="L279" s="848"/>
      <c r="M279" s="848"/>
      <c r="N279" s="848"/>
      <c r="O279" s="848"/>
      <c r="P279" s="848"/>
      <c r="Y279" s="849"/>
    </row>
    <row r="280" spans="5:25">
      <c r="E280" s="848"/>
      <c r="F280" s="848"/>
      <c r="G280" s="848"/>
      <c r="H280" s="848"/>
      <c r="I280" s="848"/>
      <c r="J280" s="848"/>
      <c r="K280" s="848"/>
      <c r="L280" s="848"/>
      <c r="M280" s="848"/>
      <c r="N280" s="848"/>
      <c r="O280" s="848"/>
      <c r="P280" s="848"/>
      <c r="Y280" s="849"/>
    </row>
    <row r="281" spans="5:25">
      <c r="E281" s="848"/>
      <c r="F281" s="848"/>
      <c r="G281" s="848"/>
      <c r="H281" s="848"/>
      <c r="I281" s="848"/>
      <c r="J281" s="848"/>
      <c r="K281" s="848"/>
      <c r="L281" s="848"/>
      <c r="M281" s="848"/>
      <c r="N281" s="848"/>
      <c r="O281" s="848"/>
      <c r="P281" s="848"/>
      <c r="Y281" s="849"/>
    </row>
    <row r="282" spans="5:25">
      <c r="E282" s="848"/>
      <c r="F282" s="848"/>
      <c r="G282" s="848"/>
      <c r="H282" s="848"/>
      <c r="I282" s="848"/>
      <c r="J282" s="848"/>
      <c r="K282" s="848"/>
      <c r="L282" s="848"/>
      <c r="M282" s="848"/>
      <c r="N282" s="848"/>
      <c r="O282" s="848"/>
      <c r="P282" s="848"/>
      <c r="Y282" s="849"/>
    </row>
    <row r="283" spans="5:25">
      <c r="E283" s="848"/>
      <c r="F283" s="848"/>
      <c r="G283" s="848"/>
      <c r="H283" s="848"/>
      <c r="I283" s="848"/>
      <c r="J283" s="848"/>
      <c r="K283" s="848"/>
      <c r="L283" s="848"/>
      <c r="M283" s="848"/>
      <c r="N283" s="848"/>
      <c r="O283" s="848"/>
      <c r="P283" s="848"/>
      <c r="Y283" s="849"/>
    </row>
    <row r="284" spans="5:25">
      <c r="E284" s="848"/>
      <c r="F284" s="848"/>
      <c r="G284" s="848"/>
      <c r="H284" s="848"/>
      <c r="I284" s="848"/>
      <c r="J284" s="848"/>
      <c r="K284" s="848"/>
      <c r="L284" s="848"/>
      <c r="M284" s="848"/>
      <c r="N284" s="848"/>
      <c r="O284" s="848"/>
      <c r="P284" s="848"/>
      <c r="Y284" s="849"/>
    </row>
    <row r="285" spans="5:25">
      <c r="E285" s="848"/>
      <c r="F285" s="848"/>
      <c r="G285" s="848"/>
      <c r="H285" s="848"/>
      <c r="I285" s="848"/>
      <c r="J285" s="848"/>
      <c r="K285" s="848"/>
      <c r="L285" s="848"/>
      <c r="M285" s="848"/>
      <c r="N285" s="848"/>
      <c r="O285" s="848"/>
      <c r="P285" s="848"/>
      <c r="Y285" s="849"/>
    </row>
    <row r="286" spans="5:25">
      <c r="E286" s="848"/>
      <c r="F286" s="848"/>
      <c r="G286" s="848"/>
      <c r="H286" s="848"/>
      <c r="I286" s="848"/>
      <c r="J286" s="848"/>
      <c r="K286" s="848"/>
      <c r="L286" s="848"/>
      <c r="M286" s="848"/>
      <c r="N286" s="848"/>
      <c r="O286" s="848"/>
      <c r="P286" s="848"/>
      <c r="Y286" s="849"/>
    </row>
    <row r="287" spans="5:25">
      <c r="E287" s="848"/>
      <c r="F287" s="848"/>
      <c r="G287" s="848"/>
      <c r="H287" s="848"/>
      <c r="I287" s="848"/>
      <c r="J287" s="848"/>
      <c r="K287" s="848"/>
      <c r="L287" s="848"/>
      <c r="M287" s="848"/>
      <c r="N287" s="848"/>
      <c r="O287" s="848"/>
      <c r="P287" s="848"/>
      <c r="Y287" s="849"/>
    </row>
    <row r="288" spans="5:25">
      <c r="E288" s="848"/>
      <c r="F288" s="848"/>
      <c r="G288" s="848"/>
      <c r="H288" s="848"/>
      <c r="I288" s="848"/>
      <c r="J288" s="848"/>
      <c r="K288" s="848"/>
      <c r="L288" s="848"/>
      <c r="M288" s="848"/>
      <c r="N288" s="848"/>
      <c r="O288" s="848"/>
      <c r="P288" s="848"/>
      <c r="Y288" s="849"/>
    </row>
    <row r="289" spans="5:25">
      <c r="E289" s="848"/>
      <c r="F289" s="848"/>
      <c r="G289" s="848"/>
      <c r="H289" s="848"/>
      <c r="I289" s="848"/>
      <c r="J289" s="848"/>
      <c r="K289" s="848"/>
      <c r="L289" s="848"/>
      <c r="M289" s="848"/>
      <c r="N289" s="848"/>
      <c r="O289" s="848"/>
      <c r="P289" s="848"/>
      <c r="Y289" s="849"/>
    </row>
    <row r="290" spans="5:25">
      <c r="E290" s="848"/>
      <c r="F290" s="848"/>
      <c r="G290" s="848"/>
      <c r="H290" s="848"/>
      <c r="I290" s="848"/>
      <c r="J290" s="848"/>
      <c r="K290" s="848"/>
      <c r="L290" s="848"/>
      <c r="M290" s="848"/>
      <c r="N290" s="848"/>
      <c r="O290" s="848"/>
      <c r="P290" s="848"/>
      <c r="Y290" s="849"/>
    </row>
    <row r="291" spans="5:25">
      <c r="E291" s="848"/>
      <c r="F291" s="848"/>
      <c r="G291" s="848"/>
      <c r="H291" s="848"/>
      <c r="I291" s="848"/>
      <c r="J291" s="848"/>
      <c r="K291" s="848"/>
      <c r="L291" s="848"/>
      <c r="M291" s="848"/>
      <c r="N291" s="848"/>
      <c r="O291" s="848"/>
      <c r="P291" s="848"/>
      <c r="Y291" s="849"/>
    </row>
    <row r="292" spans="5:25">
      <c r="E292" s="848"/>
      <c r="F292" s="848"/>
      <c r="G292" s="848"/>
      <c r="H292" s="848"/>
      <c r="I292" s="848"/>
      <c r="J292" s="848"/>
      <c r="K292" s="848"/>
      <c r="L292" s="848"/>
      <c r="M292" s="848"/>
      <c r="N292" s="848"/>
      <c r="O292" s="848"/>
      <c r="P292" s="848"/>
      <c r="Y292" s="849"/>
    </row>
    <row r="293" spans="5:25">
      <c r="E293" s="848"/>
      <c r="F293" s="848"/>
      <c r="G293" s="848"/>
      <c r="H293" s="848"/>
      <c r="I293" s="848"/>
      <c r="J293" s="848"/>
      <c r="K293" s="848"/>
      <c r="L293" s="848"/>
      <c r="M293" s="848"/>
      <c r="N293" s="848"/>
      <c r="O293" s="848"/>
      <c r="P293" s="848"/>
      <c r="Y293" s="849"/>
    </row>
    <row r="294" spans="5:25">
      <c r="E294" s="848"/>
      <c r="F294" s="848"/>
      <c r="G294" s="848"/>
      <c r="H294" s="848"/>
      <c r="I294" s="848"/>
      <c r="J294" s="848"/>
      <c r="K294" s="848"/>
      <c r="L294" s="848"/>
      <c r="M294" s="848"/>
      <c r="N294" s="848"/>
      <c r="O294" s="848"/>
      <c r="P294" s="848"/>
      <c r="Y294" s="849"/>
    </row>
    <row r="295" spans="5:25">
      <c r="E295" s="848"/>
      <c r="F295" s="848"/>
      <c r="G295" s="848"/>
      <c r="H295" s="848"/>
      <c r="I295" s="848"/>
      <c r="J295" s="848"/>
      <c r="K295" s="848"/>
      <c r="L295" s="848"/>
      <c r="M295" s="848"/>
      <c r="N295" s="848"/>
      <c r="O295" s="848"/>
      <c r="P295" s="848"/>
      <c r="Y295" s="849"/>
    </row>
    <row r="296" spans="5:25">
      <c r="E296" s="848"/>
      <c r="F296" s="848"/>
      <c r="G296" s="848"/>
      <c r="H296" s="848"/>
      <c r="I296" s="848"/>
      <c r="J296" s="848"/>
      <c r="K296" s="848"/>
      <c r="L296" s="848"/>
      <c r="M296" s="848"/>
      <c r="N296" s="848"/>
      <c r="O296" s="848"/>
      <c r="P296" s="848"/>
      <c r="Y296" s="849"/>
    </row>
    <row r="297" spans="5:25">
      <c r="E297" s="848"/>
      <c r="F297" s="848"/>
      <c r="G297" s="848"/>
      <c r="H297" s="848"/>
      <c r="I297" s="848"/>
      <c r="J297" s="848"/>
      <c r="K297" s="848"/>
      <c r="L297" s="848"/>
      <c r="M297" s="848"/>
      <c r="N297" s="848"/>
      <c r="O297" s="848"/>
      <c r="P297" s="848"/>
      <c r="Y297" s="849"/>
    </row>
    <row r="298" spans="5:25">
      <c r="E298" s="848"/>
      <c r="F298" s="848"/>
      <c r="G298" s="848"/>
      <c r="H298" s="848"/>
      <c r="I298" s="848"/>
      <c r="J298" s="848"/>
      <c r="K298" s="848"/>
      <c r="L298" s="848"/>
      <c r="M298" s="848"/>
      <c r="N298" s="848"/>
      <c r="O298" s="848"/>
      <c r="P298" s="848"/>
      <c r="Y298" s="849"/>
    </row>
    <row r="299" spans="5:25">
      <c r="E299" s="848"/>
      <c r="F299" s="848"/>
      <c r="G299" s="848"/>
      <c r="H299" s="848"/>
      <c r="I299" s="848"/>
      <c r="J299" s="848"/>
      <c r="K299" s="848"/>
      <c r="L299" s="848"/>
      <c r="M299" s="848"/>
      <c r="N299" s="848"/>
      <c r="O299" s="848"/>
      <c r="P299" s="848"/>
      <c r="Y299" s="849"/>
    </row>
    <row r="300" spans="5:25">
      <c r="E300" s="848"/>
      <c r="F300" s="848"/>
      <c r="G300" s="848"/>
      <c r="H300" s="848"/>
      <c r="I300" s="848"/>
      <c r="J300" s="848"/>
      <c r="K300" s="848"/>
      <c r="L300" s="848"/>
      <c r="M300" s="848"/>
      <c r="N300" s="848"/>
      <c r="O300" s="848"/>
      <c r="P300" s="848"/>
      <c r="Y300" s="849"/>
    </row>
    <row r="301" spans="5:25">
      <c r="E301" s="848"/>
      <c r="F301" s="848"/>
      <c r="G301" s="848"/>
      <c r="H301" s="848"/>
      <c r="I301" s="848"/>
      <c r="J301" s="848"/>
      <c r="K301" s="848"/>
      <c r="L301" s="848"/>
      <c r="M301" s="848"/>
      <c r="N301" s="848"/>
      <c r="O301" s="848"/>
      <c r="P301" s="848"/>
      <c r="Y301" s="849"/>
    </row>
    <row r="302" spans="5:25">
      <c r="E302" s="848"/>
      <c r="F302" s="848"/>
      <c r="G302" s="848"/>
      <c r="H302" s="848"/>
      <c r="I302" s="848"/>
      <c r="J302" s="848"/>
      <c r="K302" s="848"/>
      <c r="L302" s="848"/>
      <c r="M302" s="848"/>
      <c r="N302" s="848"/>
      <c r="O302" s="848"/>
      <c r="P302" s="848"/>
      <c r="Y302" s="849"/>
    </row>
    <row r="303" spans="5:25">
      <c r="E303" s="848"/>
      <c r="F303" s="848"/>
      <c r="G303" s="848"/>
      <c r="H303" s="848"/>
      <c r="I303" s="848"/>
      <c r="J303" s="848"/>
      <c r="K303" s="848"/>
      <c r="L303" s="848"/>
      <c r="M303" s="848"/>
      <c r="N303" s="848"/>
      <c r="O303" s="848"/>
      <c r="P303" s="848"/>
      <c r="Y303" s="849"/>
    </row>
    <row r="304" spans="5:25">
      <c r="E304" s="848"/>
      <c r="F304" s="848"/>
      <c r="G304" s="848"/>
      <c r="H304" s="848"/>
      <c r="I304" s="848"/>
      <c r="J304" s="848"/>
      <c r="K304" s="848"/>
      <c r="L304" s="848"/>
      <c r="M304" s="848"/>
      <c r="N304" s="848"/>
      <c r="O304" s="848"/>
      <c r="P304" s="848"/>
      <c r="Y304" s="849"/>
    </row>
    <row r="305" spans="5:25">
      <c r="E305" s="848"/>
      <c r="F305" s="848"/>
      <c r="G305" s="848"/>
      <c r="H305" s="848"/>
      <c r="I305" s="848"/>
      <c r="J305" s="848"/>
      <c r="K305" s="848"/>
      <c r="L305" s="848"/>
      <c r="M305" s="848"/>
      <c r="N305" s="848"/>
      <c r="O305" s="848"/>
      <c r="P305" s="848"/>
      <c r="Y305" s="849"/>
    </row>
    <row r="306" spans="5:25">
      <c r="E306" s="848"/>
      <c r="F306" s="848"/>
      <c r="G306" s="848"/>
      <c r="H306" s="848"/>
      <c r="I306" s="848"/>
      <c r="J306" s="848"/>
      <c r="K306" s="848"/>
      <c r="L306" s="848"/>
      <c r="M306" s="848"/>
      <c r="N306" s="848"/>
      <c r="O306" s="848"/>
      <c r="P306" s="848"/>
      <c r="Y306" s="849"/>
    </row>
    <row r="307" spans="5:25">
      <c r="E307" s="848"/>
      <c r="F307" s="848"/>
      <c r="G307" s="848"/>
      <c r="H307" s="848"/>
      <c r="I307" s="848"/>
      <c r="J307" s="848"/>
      <c r="K307" s="848"/>
      <c r="L307" s="848"/>
      <c r="M307" s="848"/>
      <c r="N307" s="848"/>
      <c r="O307" s="848"/>
      <c r="P307" s="848"/>
      <c r="Y307" s="849"/>
    </row>
    <row r="308" spans="5:25">
      <c r="E308" s="848"/>
      <c r="F308" s="848"/>
      <c r="G308" s="848"/>
      <c r="H308" s="848"/>
      <c r="I308" s="848"/>
      <c r="J308" s="848"/>
      <c r="K308" s="848"/>
      <c r="L308" s="848"/>
      <c r="M308" s="848"/>
      <c r="N308" s="848"/>
      <c r="O308" s="848"/>
      <c r="P308" s="848"/>
      <c r="Y308" s="849"/>
    </row>
    <row r="309" spans="5:25">
      <c r="E309" s="848"/>
      <c r="F309" s="848"/>
      <c r="G309" s="848"/>
      <c r="H309" s="848"/>
      <c r="I309" s="848"/>
      <c r="J309" s="848"/>
      <c r="K309" s="848"/>
      <c r="L309" s="848"/>
      <c r="M309" s="848"/>
      <c r="N309" s="848"/>
      <c r="O309" s="848"/>
      <c r="P309" s="848"/>
      <c r="Y309" s="849"/>
    </row>
    <row r="310" spans="5:25">
      <c r="E310" s="848"/>
      <c r="F310" s="848"/>
      <c r="G310" s="848"/>
      <c r="H310" s="848"/>
      <c r="I310" s="848"/>
      <c r="J310" s="848"/>
      <c r="K310" s="848"/>
      <c r="L310" s="848"/>
      <c r="M310" s="848"/>
      <c r="N310" s="848"/>
      <c r="O310" s="848"/>
      <c r="P310" s="848"/>
      <c r="Y310" s="849"/>
    </row>
    <row r="311" spans="5:25">
      <c r="E311" s="848"/>
      <c r="F311" s="848"/>
      <c r="G311" s="848"/>
      <c r="H311" s="848"/>
      <c r="I311" s="848"/>
      <c r="J311" s="848"/>
      <c r="K311" s="848"/>
      <c r="L311" s="848"/>
      <c r="M311" s="848"/>
      <c r="N311" s="848"/>
      <c r="O311" s="848"/>
      <c r="P311" s="848"/>
      <c r="Y311" s="849"/>
    </row>
    <row r="312" spans="5:25">
      <c r="E312" s="848"/>
      <c r="F312" s="848"/>
      <c r="G312" s="848"/>
      <c r="H312" s="848"/>
      <c r="I312" s="848"/>
      <c r="J312" s="848"/>
      <c r="K312" s="848"/>
      <c r="L312" s="848"/>
      <c r="M312" s="848"/>
      <c r="N312" s="848"/>
      <c r="O312" s="848"/>
      <c r="P312" s="848"/>
      <c r="Y312" s="849"/>
    </row>
    <row r="313" spans="5:25">
      <c r="E313" s="848"/>
      <c r="F313" s="848"/>
      <c r="G313" s="848"/>
      <c r="H313" s="848"/>
      <c r="I313" s="848"/>
      <c r="J313" s="848"/>
      <c r="K313" s="848"/>
      <c r="L313" s="848"/>
      <c r="M313" s="848"/>
      <c r="N313" s="848"/>
      <c r="O313" s="848"/>
      <c r="P313" s="848"/>
      <c r="Y313" s="849"/>
    </row>
    <row r="314" spans="5:25">
      <c r="E314" s="848"/>
      <c r="F314" s="848"/>
      <c r="G314" s="848"/>
      <c r="H314" s="848"/>
      <c r="I314" s="848"/>
      <c r="J314" s="848"/>
      <c r="K314" s="848"/>
      <c r="L314" s="848"/>
      <c r="M314" s="848"/>
      <c r="N314" s="848"/>
      <c r="O314" s="848"/>
      <c r="P314" s="848"/>
      <c r="Y314" s="849"/>
    </row>
    <row r="315" spans="5:25">
      <c r="E315" s="848"/>
      <c r="F315" s="848"/>
      <c r="G315" s="848"/>
      <c r="H315" s="848"/>
      <c r="I315" s="848"/>
      <c r="J315" s="848"/>
      <c r="K315" s="848"/>
      <c r="L315" s="848"/>
      <c r="M315" s="848"/>
      <c r="N315" s="848"/>
      <c r="O315" s="848"/>
      <c r="P315" s="848"/>
      <c r="Y315" s="849"/>
    </row>
    <row r="316" spans="5:25">
      <c r="E316" s="848"/>
      <c r="F316" s="848"/>
      <c r="G316" s="848"/>
      <c r="H316" s="848"/>
      <c r="I316" s="848"/>
      <c r="J316" s="848"/>
      <c r="K316" s="848"/>
      <c r="L316" s="848"/>
      <c r="M316" s="848"/>
      <c r="N316" s="848"/>
      <c r="O316" s="848"/>
      <c r="P316" s="848"/>
      <c r="Y316" s="849"/>
    </row>
    <row r="317" spans="5:25">
      <c r="E317" s="848"/>
      <c r="F317" s="848"/>
      <c r="G317" s="848"/>
      <c r="H317" s="848"/>
      <c r="I317" s="848"/>
      <c r="J317" s="848"/>
      <c r="K317" s="848"/>
      <c r="L317" s="848"/>
      <c r="M317" s="848"/>
      <c r="N317" s="848"/>
      <c r="O317" s="848"/>
      <c r="P317" s="848"/>
      <c r="Y317" s="849"/>
    </row>
    <row r="318" spans="5:25">
      <c r="E318" s="848"/>
      <c r="F318" s="848"/>
      <c r="G318" s="848"/>
      <c r="H318" s="848"/>
      <c r="I318" s="848"/>
      <c r="J318" s="848"/>
      <c r="K318" s="848"/>
      <c r="L318" s="848"/>
      <c r="M318" s="848"/>
      <c r="N318" s="848"/>
      <c r="O318" s="848"/>
      <c r="P318" s="848"/>
      <c r="Y318" s="849"/>
    </row>
    <row r="319" spans="5:25">
      <c r="E319" s="848"/>
      <c r="F319" s="848"/>
      <c r="G319" s="848"/>
      <c r="H319" s="848"/>
      <c r="I319" s="848"/>
      <c r="J319" s="848"/>
      <c r="K319" s="848"/>
      <c r="L319" s="848"/>
      <c r="M319" s="848"/>
      <c r="N319" s="848"/>
      <c r="O319" s="848"/>
      <c r="P319" s="848"/>
      <c r="Y319" s="849"/>
    </row>
    <row r="320" spans="5:25">
      <c r="E320" s="848"/>
      <c r="F320" s="848"/>
      <c r="G320" s="848"/>
      <c r="H320" s="848"/>
      <c r="I320" s="848"/>
      <c r="J320" s="848"/>
      <c r="K320" s="848"/>
      <c r="L320" s="848"/>
      <c r="M320" s="848"/>
      <c r="N320" s="848"/>
      <c r="O320" s="848"/>
      <c r="P320" s="848"/>
      <c r="Y320" s="849"/>
    </row>
    <row r="321" spans="5:25">
      <c r="E321" s="848"/>
      <c r="F321" s="848"/>
      <c r="G321" s="848"/>
      <c r="H321" s="848"/>
      <c r="I321" s="848"/>
      <c r="J321" s="848"/>
      <c r="K321" s="848"/>
      <c r="L321" s="848"/>
      <c r="M321" s="848"/>
      <c r="N321" s="848"/>
      <c r="O321" s="848"/>
      <c r="P321" s="848"/>
      <c r="Y321" s="849"/>
    </row>
    <row r="322" spans="5:25">
      <c r="E322" s="848"/>
      <c r="F322" s="848"/>
      <c r="G322" s="848"/>
      <c r="H322" s="848"/>
      <c r="I322" s="848"/>
      <c r="J322" s="848"/>
      <c r="K322" s="848"/>
      <c r="L322" s="848"/>
      <c r="M322" s="848"/>
      <c r="N322" s="848"/>
      <c r="O322" s="848"/>
      <c r="P322" s="848"/>
      <c r="Y322" s="849"/>
    </row>
    <row r="323" spans="5:25">
      <c r="E323" s="848"/>
      <c r="F323" s="848"/>
      <c r="G323" s="848"/>
      <c r="H323" s="848"/>
      <c r="I323" s="848"/>
      <c r="J323" s="848"/>
      <c r="K323" s="848"/>
      <c r="L323" s="848"/>
      <c r="M323" s="848"/>
      <c r="N323" s="848"/>
      <c r="O323" s="848"/>
      <c r="P323" s="848"/>
      <c r="Y323" s="849"/>
    </row>
    <row r="324" spans="5:25">
      <c r="E324" s="848"/>
      <c r="F324" s="848"/>
      <c r="G324" s="848"/>
      <c r="H324" s="848"/>
      <c r="I324" s="848"/>
      <c r="J324" s="848"/>
      <c r="K324" s="848"/>
      <c r="L324" s="848"/>
      <c r="M324" s="848"/>
      <c r="N324" s="848"/>
      <c r="O324" s="848"/>
      <c r="P324" s="848"/>
      <c r="Y324" s="849"/>
    </row>
    <row r="325" spans="5:25">
      <c r="E325" s="848"/>
      <c r="F325" s="848"/>
      <c r="G325" s="848"/>
      <c r="H325" s="848"/>
      <c r="I325" s="848"/>
      <c r="J325" s="848"/>
      <c r="K325" s="848"/>
      <c r="L325" s="848"/>
      <c r="M325" s="848"/>
      <c r="N325" s="848"/>
      <c r="O325" s="848"/>
      <c r="P325" s="848"/>
      <c r="Y325" s="849"/>
    </row>
    <row r="326" spans="5:25">
      <c r="E326" s="848"/>
      <c r="F326" s="848"/>
      <c r="G326" s="848"/>
      <c r="H326" s="848"/>
      <c r="I326" s="848"/>
      <c r="J326" s="848"/>
      <c r="K326" s="848"/>
      <c r="L326" s="848"/>
      <c r="M326" s="848"/>
      <c r="N326" s="848"/>
      <c r="O326" s="848"/>
      <c r="P326" s="848"/>
      <c r="Y326" s="849"/>
    </row>
    <row r="327" spans="5:25">
      <c r="E327" s="848"/>
      <c r="F327" s="848"/>
      <c r="G327" s="848"/>
      <c r="H327" s="848"/>
      <c r="I327" s="848"/>
      <c r="J327" s="848"/>
      <c r="K327" s="848"/>
      <c r="L327" s="848"/>
      <c r="M327" s="848"/>
      <c r="N327" s="848"/>
      <c r="O327" s="848"/>
      <c r="P327" s="848"/>
      <c r="Y327" s="849"/>
    </row>
    <row r="328" spans="5:25">
      <c r="E328" s="848"/>
      <c r="F328" s="848"/>
      <c r="G328" s="848"/>
      <c r="H328" s="848"/>
      <c r="I328" s="848"/>
      <c r="J328" s="848"/>
      <c r="K328" s="848"/>
      <c r="L328" s="848"/>
      <c r="M328" s="848"/>
      <c r="N328" s="848"/>
      <c r="O328" s="848"/>
      <c r="P328" s="848"/>
      <c r="Y328" s="849"/>
    </row>
    <row r="329" spans="5:25">
      <c r="E329" s="848"/>
      <c r="F329" s="848"/>
      <c r="G329" s="848"/>
      <c r="H329" s="848"/>
      <c r="I329" s="848"/>
      <c r="J329" s="848"/>
      <c r="K329" s="848"/>
      <c r="L329" s="848"/>
      <c r="M329" s="848"/>
      <c r="N329" s="848"/>
      <c r="O329" s="848"/>
      <c r="P329" s="848"/>
      <c r="Y329" s="849"/>
    </row>
    <row r="330" spans="5:25">
      <c r="E330" s="848"/>
      <c r="F330" s="848"/>
      <c r="G330" s="848"/>
      <c r="H330" s="848"/>
      <c r="I330" s="848"/>
      <c r="J330" s="848"/>
      <c r="K330" s="848"/>
      <c r="L330" s="848"/>
      <c r="M330" s="848"/>
      <c r="N330" s="848"/>
      <c r="O330" s="848"/>
      <c r="P330" s="848"/>
      <c r="Y330" s="849"/>
    </row>
    <row r="331" spans="5:25">
      <c r="E331" s="848"/>
      <c r="F331" s="848"/>
      <c r="G331" s="848"/>
      <c r="H331" s="848"/>
      <c r="I331" s="848"/>
      <c r="J331" s="848"/>
      <c r="K331" s="848"/>
      <c r="L331" s="848"/>
      <c r="M331" s="848"/>
      <c r="N331" s="848"/>
      <c r="O331" s="848"/>
      <c r="P331" s="848"/>
      <c r="Y331" s="849"/>
    </row>
    <row r="332" spans="5:25">
      <c r="E332" s="848"/>
      <c r="F332" s="848"/>
      <c r="G332" s="848"/>
      <c r="H332" s="848"/>
      <c r="I332" s="848"/>
      <c r="J332" s="848"/>
      <c r="K332" s="848"/>
      <c r="L332" s="848"/>
      <c r="M332" s="848"/>
      <c r="N332" s="848"/>
      <c r="O332" s="848"/>
      <c r="P332" s="848"/>
      <c r="Y332" s="849"/>
    </row>
    <row r="333" spans="5:25">
      <c r="E333" s="848"/>
      <c r="F333" s="848"/>
      <c r="G333" s="848"/>
      <c r="H333" s="848"/>
      <c r="I333" s="848"/>
      <c r="J333" s="848"/>
      <c r="K333" s="848"/>
      <c r="L333" s="848"/>
      <c r="M333" s="848"/>
      <c r="N333" s="848"/>
      <c r="O333" s="848"/>
      <c r="P333" s="848"/>
      <c r="Y333" s="849"/>
    </row>
    <row r="334" spans="5:25">
      <c r="E334" s="848"/>
      <c r="F334" s="848"/>
      <c r="G334" s="848"/>
      <c r="H334" s="848"/>
      <c r="I334" s="848"/>
      <c r="J334" s="848"/>
      <c r="K334" s="848"/>
      <c r="L334" s="848"/>
      <c r="M334" s="848"/>
      <c r="N334" s="848"/>
      <c r="O334" s="848"/>
      <c r="P334" s="848"/>
      <c r="Y334" s="849"/>
    </row>
    <row r="335" spans="5:25">
      <c r="E335" s="848"/>
      <c r="F335" s="848"/>
      <c r="G335" s="848"/>
      <c r="H335" s="848"/>
      <c r="I335" s="848"/>
      <c r="J335" s="848"/>
      <c r="K335" s="848"/>
      <c r="L335" s="848"/>
      <c r="M335" s="848"/>
      <c r="N335" s="848"/>
      <c r="O335" s="848"/>
      <c r="P335" s="848"/>
      <c r="Y335" s="849"/>
    </row>
    <row r="336" spans="5:25">
      <c r="E336" s="848"/>
      <c r="F336" s="848"/>
      <c r="G336" s="848"/>
      <c r="H336" s="848"/>
      <c r="I336" s="848"/>
      <c r="J336" s="848"/>
      <c r="K336" s="848"/>
      <c r="L336" s="848"/>
      <c r="M336" s="848"/>
      <c r="N336" s="848"/>
      <c r="O336" s="848"/>
      <c r="P336" s="848"/>
      <c r="Y336" s="849"/>
    </row>
    <row r="337" spans="5:25">
      <c r="E337" s="848"/>
      <c r="F337" s="848"/>
      <c r="G337" s="848"/>
      <c r="H337" s="848"/>
      <c r="I337" s="848"/>
      <c r="J337" s="848"/>
      <c r="K337" s="848"/>
      <c r="L337" s="848"/>
      <c r="M337" s="848"/>
      <c r="N337" s="848"/>
      <c r="O337" s="848"/>
      <c r="P337" s="848"/>
      <c r="Y337" s="849"/>
    </row>
    <row r="338" spans="5:25">
      <c r="E338" s="848"/>
      <c r="F338" s="848"/>
      <c r="G338" s="848"/>
      <c r="H338" s="848"/>
      <c r="I338" s="848"/>
      <c r="J338" s="848"/>
      <c r="K338" s="848"/>
      <c r="L338" s="848"/>
      <c r="M338" s="848"/>
      <c r="N338" s="848"/>
      <c r="O338" s="848"/>
      <c r="P338" s="848"/>
      <c r="Y338" s="849"/>
    </row>
    <row r="339" spans="5:25">
      <c r="E339" s="848"/>
      <c r="F339" s="848"/>
      <c r="G339" s="848"/>
      <c r="H339" s="848"/>
      <c r="I339" s="848"/>
      <c r="J339" s="848"/>
      <c r="K339" s="848"/>
      <c r="L339" s="848"/>
      <c r="M339" s="848"/>
      <c r="N339" s="848"/>
      <c r="O339" s="848"/>
      <c r="P339" s="848"/>
      <c r="Y339" s="849"/>
    </row>
    <row r="340" spans="5:25">
      <c r="E340" s="848"/>
      <c r="F340" s="848"/>
      <c r="G340" s="848"/>
      <c r="H340" s="848"/>
      <c r="I340" s="848"/>
      <c r="J340" s="848"/>
      <c r="K340" s="848"/>
      <c r="L340" s="848"/>
      <c r="M340" s="848"/>
      <c r="N340" s="848"/>
      <c r="O340" s="848"/>
      <c r="P340" s="848"/>
      <c r="Y340" s="849"/>
    </row>
    <row r="341" spans="5:25">
      <c r="E341" s="848"/>
      <c r="F341" s="848"/>
      <c r="G341" s="848"/>
      <c r="H341" s="848"/>
      <c r="I341" s="848"/>
      <c r="J341" s="848"/>
      <c r="K341" s="848"/>
      <c r="L341" s="848"/>
      <c r="M341" s="848"/>
      <c r="N341" s="848"/>
      <c r="O341" s="848"/>
      <c r="P341" s="848"/>
      <c r="Y341" s="849"/>
    </row>
    <row r="342" spans="5:25">
      <c r="E342" s="848"/>
      <c r="F342" s="848"/>
      <c r="G342" s="848"/>
      <c r="H342" s="848"/>
      <c r="I342" s="848"/>
      <c r="J342" s="848"/>
      <c r="K342" s="848"/>
      <c r="L342" s="848"/>
      <c r="M342" s="848"/>
      <c r="N342" s="848"/>
      <c r="O342" s="848"/>
      <c r="P342" s="848"/>
      <c r="Y342" s="849"/>
    </row>
    <row r="343" spans="5:25">
      <c r="E343" s="848"/>
      <c r="F343" s="848"/>
      <c r="G343" s="848"/>
      <c r="H343" s="848"/>
      <c r="I343" s="848"/>
      <c r="J343" s="848"/>
      <c r="K343" s="848"/>
      <c r="L343" s="848"/>
      <c r="M343" s="848"/>
      <c r="N343" s="848"/>
      <c r="O343" s="848"/>
      <c r="P343" s="848"/>
      <c r="Y343" s="849"/>
    </row>
    <row r="344" spans="5:25">
      <c r="E344" s="848"/>
      <c r="F344" s="848"/>
      <c r="G344" s="848"/>
      <c r="H344" s="848"/>
      <c r="I344" s="848"/>
      <c r="J344" s="848"/>
      <c r="K344" s="848"/>
      <c r="L344" s="848"/>
      <c r="M344" s="848"/>
      <c r="N344" s="848"/>
      <c r="O344" s="848"/>
      <c r="P344" s="848"/>
      <c r="Y344" s="849"/>
    </row>
    <row r="345" spans="5:25">
      <c r="E345" s="848"/>
      <c r="F345" s="848"/>
      <c r="G345" s="848"/>
      <c r="H345" s="848"/>
      <c r="I345" s="848"/>
      <c r="J345" s="848"/>
      <c r="K345" s="848"/>
      <c r="L345" s="848"/>
      <c r="M345" s="848"/>
      <c r="N345" s="848"/>
      <c r="O345" s="848"/>
      <c r="P345" s="848"/>
      <c r="Y345" s="849"/>
    </row>
    <row r="346" spans="5:25">
      <c r="E346" s="848"/>
      <c r="F346" s="848"/>
      <c r="G346" s="848"/>
      <c r="H346" s="848"/>
      <c r="I346" s="848"/>
      <c r="J346" s="848"/>
      <c r="K346" s="848"/>
      <c r="L346" s="848"/>
      <c r="M346" s="848"/>
      <c r="N346" s="848"/>
      <c r="O346" s="848"/>
      <c r="P346" s="848"/>
      <c r="Y346" s="849"/>
    </row>
    <row r="347" spans="5:25">
      <c r="E347" s="848"/>
      <c r="F347" s="848"/>
      <c r="G347" s="848"/>
      <c r="H347" s="848"/>
      <c r="I347" s="848"/>
      <c r="J347" s="848"/>
      <c r="K347" s="848"/>
      <c r="L347" s="848"/>
      <c r="M347" s="848"/>
      <c r="N347" s="848"/>
      <c r="O347" s="848"/>
      <c r="P347" s="848"/>
      <c r="Y347" s="849"/>
    </row>
    <row r="348" spans="5:25">
      <c r="E348" s="848"/>
      <c r="F348" s="848"/>
      <c r="G348" s="848"/>
      <c r="H348" s="848"/>
      <c r="I348" s="848"/>
      <c r="J348" s="848"/>
      <c r="K348" s="848"/>
      <c r="L348" s="848"/>
      <c r="M348" s="848"/>
      <c r="N348" s="848"/>
      <c r="O348" s="848"/>
      <c r="P348" s="848"/>
      <c r="Y348" s="849"/>
    </row>
    <row r="349" spans="5:25">
      <c r="E349" s="848"/>
      <c r="F349" s="848"/>
      <c r="G349" s="848"/>
      <c r="H349" s="848"/>
      <c r="I349" s="848"/>
      <c r="J349" s="848"/>
      <c r="K349" s="848"/>
      <c r="L349" s="848"/>
      <c r="M349" s="848"/>
      <c r="N349" s="848"/>
      <c r="O349" s="848"/>
      <c r="P349" s="848"/>
      <c r="Y349" s="849"/>
    </row>
    <row r="350" spans="5:25">
      <c r="E350" s="848"/>
      <c r="F350" s="848"/>
      <c r="G350" s="848"/>
      <c r="H350" s="848"/>
      <c r="I350" s="848"/>
      <c r="J350" s="848"/>
      <c r="K350" s="848"/>
      <c r="L350" s="848"/>
      <c r="M350" s="848"/>
      <c r="N350" s="848"/>
      <c r="O350" s="848"/>
      <c r="P350" s="848"/>
      <c r="Y350" s="849"/>
    </row>
    <row r="351" spans="5:25">
      <c r="E351" s="848"/>
      <c r="F351" s="848"/>
      <c r="G351" s="848"/>
      <c r="H351" s="848"/>
      <c r="I351" s="848"/>
      <c r="J351" s="848"/>
      <c r="K351" s="848"/>
      <c r="L351" s="848"/>
      <c r="M351" s="848"/>
      <c r="N351" s="848"/>
      <c r="O351" s="848"/>
      <c r="P351" s="848"/>
      <c r="Y351" s="849"/>
    </row>
    <row r="352" spans="5:25">
      <c r="E352" s="848"/>
      <c r="F352" s="848"/>
      <c r="G352" s="848"/>
      <c r="H352" s="848"/>
      <c r="I352" s="848"/>
      <c r="J352" s="848"/>
      <c r="K352" s="848"/>
      <c r="L352" s="848"/>
      <c r="M352" s="848"/>
      <c r="N352" s="848"/>
      <c r="O352" s="848"/>
      <c r="P352" s="848"/>
      <c r="Y352" s="849"/>
    </row>
    <row r="353" spans="5:25">
      <c r="E353" s="848"/>
      <c r="F353" s="848"/>
      <c r="G353" s="848"/>
      <c r="H353" s="848"/>
      <c r="I353" s="848"/>
      <c r="J353" s="848"/>
      <c r="K353" s="848"/>
      <c r="L353" s="848"/>
      <c r="M353" s="848"/>
      <c r="N353" s="848"/>
      <c r="O353" s="848"/>
      <c r="P353" s="848"/>
      <c r="Y353" s="849"/>
    </row>
    <row r="354" spans="5:25">
      <c r="E354" s="848"/>
      <c r="F354" s="848"/>
      <c r="G354" s="848"/>
      <c r="H354" s="848"/>
      <c r="I354" s="848"/>
      <c r="J354" s="848"/>
      <c r="K354" s="848"/>
      <c r="L354" s="848"/>
      <c r="M354" s="848"/>
      <c r="N354" s="848"/>
      <c r="O354" s="848"/>
      <c r="P354" s="848"/>
      <c r="Y354" s="849"/>
    </row>
    <row r="355" spans="5:25">
      <c r="E355" s="848"/>
      <c r="F355" s="848"/>
      <c r="G355" s="848"/>
      <c r="H355" s="848"/>
      <c r="I355" s="848"/>
      <c r="J355" s="848"/>
      <c r="K355" s="848"/>
      <c r="L355" s="848"/>
      <c r="M355" s="848"/>
      <c r="N355" s="848"/>
      <c r="O355" s="848"/>
      <c r="P355" s="848"/>
      <c r="Y355" s="849"/>
    </row>
    <row r="356" spans="5:25">
      <c r="E356" s="848"/>
      <c r="F356" s="848"/>
      <c r="G356" s="848"/>
      <c r="H356" s="848"/>
      <c r="I356" s="848"/>
      <c r="J356" s="848"/>
      <c r="K356" s="848"/>
      <c r="L356" s="848"/>
      <c r="M356" s="848"/>
      <c r="N356" s="848"/>
      <c r="O356" s="848"/>
      <c r="P356" s="848"/>
      <c r="Y356" s="849"/>
    </row>
    <row r="357" spans="5:25">
      <c r="E357" s="848"/>
      <c r="F357" s="848"/>
      <c r="G357" s="848"/>
      <c r="H357" s="848"/>
      <c r="I357" s="848"/>
      <c r="J357" s="848"/>
      <c r="K357" s="848"/>
      <c r="L357" s="848"/>
      <c r="M357" s="848"/>
      <c r="N357" s="848"/>
      <c r="O357" s="848"/>
      <c r="P357" s="848"/>
      <c r="Y357" s="849"/>
    </row>
    <row r="358" spans="5:25">
      <c r="E358" s="848"/>
      <c r="F358" s="848"/>
      <c r="G358" s="848"/>
      <c r="H358" s="848"/>
      <c r="I358" s="848"/>
      <c r="J358" s="848"/>
      <c r="K358" s="848"/>
      <c r="L358" s="848"/>
      <c r="M358" s="848"/>
      <c r="N358" s="848"/>
      <c r="O358" s="848"/>
      <c r="P358" s="848"/>
      <c r="Y358" s="849"/>
    </row>
    <row r="359" spans="5:25">
      <c r="E359" s="848"/>
      <c r="F359" s="848"/>
      <c r="G359" s="848"/>
      <c r="H359" s="848"/>
      <c r="I359" s="848"/>
      <c r="J359" s="848"/>
      <c r="K359" s="848"/>
      <c r="L359" s="848"/>
      <c r="M359" s="848"/>
      <c r="N359" s="848"/>
      <c r="O359" s="848"/>
      <c r="P359" s="848"/>
      <c r="Y359" s="849"/>
    </row>
    <row r="360" spans="5:25">
      <c r="E360" s="848"/>
      <c r="F360" s="848"/>
      <c r="G360" s="848"/>
      <c r="H360" s="848"/>
      <c r="I360" s="848"/>
      <c r="J360" s="848"/>
      <c r="K360" s="848"/>
      <c r="L360" s="848"/>
      <c r="M360" s="848"/>
      <c r="N360" s="848"/>
      <c r="O360" s="848"/>
      <c r="P360" s="848"/>
      <c r="Y360" s="849"/>
    </row>
    <row r="361" spans="5:25">
      <c r="E361" s="848"/>
      <c r="F361" s="848"/>
      <c r="G361" s="848"/>
      <c r="H361" s="848"/>
      <c r="I361" s="848"/>
      <c r="J361" s="848"/>
      <c r="K361" s="848"/>
      <c r="L361" s="848"/>
      <c r="M361" s="848"/>
      <c r="N361" s="848"/>
      <c r="O361" s="848"/>
      <c r="P361" s="848"/>
      <c r="Y361" s="849"/>
    </row>
    <row r="362" spans="5:25">
      <c r="E362" s="848"/>
      <c r="F362" s="848"/>
      <c r="G362" s="848"/>
      <c r="H362" s="848"/>
      <c r="I362" s="848"/>
      <c r="J362" s="848"/>
      <c r="K362" s="848"/>
      <c r="L362" s="848"/>
      <c r="M362" s="848"/>
      <c r="N362" s="848"/>
      <c r="O362" s="848"/>
      <c r="P362" s="848"/>
      <c r="Y362" s="849"/>
    </row>
    <row r="363" spans="5:25">
      <c r="E363" s="848"/>
      <c r="F363" s="848"/>
      <c r="G363" s="848"/>
      <c r="H363" s="848"/>
      <c r="I363" s="848"/>
      <c r="J363" s="848"/>
      <c r="K363" s="848"/>
      <c r="L363" s="848"/>
      <c r="M363" s="848"/>
      <c r="N363" s="848"/>
      <c r="O363" s="848"/>
      <c r="P363" s="848"/>
      <c r="Y363" s="849"/>
    </row>
    <row r="364" spans="5:25">
      <c r="E364" s="848"/>
      <c r="F364" s="848"/>
      <c r="G364" s="848"/>
      <c r="H364" s="848"/>
      <c r="I364" s="848"/>
      <c r="J364" s="848"/>
      <c r="K364" s="848"/>
      <c r="L364" s="848"/>
      <c r="M364" s="848"/>
      <c r="N364" s="848"/>
      <c r="O364" s="848"/>
      <c r="P364" s="848"/>
      <c r="Y364" s="849"/>
    </row>
    <row r="365" spans="5:25">
      <c r="E365" s="848"/>
      <c r="F365" s="848"/>
      <c r="G365" s="848"/>
      <c r="H365" s="848"/>
      <c r="I365" s="848"/>
      <c r="J365" s="848"/>
      <c r="K365" s="848"/>
      <c r="L365" s="848"/>
      <c r="M365" s="848"/>
      <c r="N365" s="848"/>
      <c r="O365" s="848"/>
      <c r="P365" s="848"/>
      <c r="Y365" s="849"/>
    </row>
    <row r="366" spans="5:25">
      <c r="E366" s="848"/>
      <c r="F366" s="848"/>
      <c r="G366" s="848"/>
      <c r="H366" s="848"/>
      <c r="I366" s="848"/>
      <c r="J366" s="848"/>
      <c r="K366" s="848"/>
      <c r="L366" s="848"/>
      <c r="M366" s="848"/>
      <c r="N366" s="848"/>
      <c r="O366" s="848"/>
      <c r="P366" s="848"/>
      <c r="Y366" s="849"/>
    </row>
    <row r="367" spans="5:25">
      <c r="E367" s="848"/>
      <c r="F367" s="848"/>
      <c r="G367" s="848"/>
      <c r="H367" s="848"/>
      <c r="I367" s="848"/>
      <c r="J367" s="848"/>
      <c r="K367" s="848"/>
      <c r="L367" s="848"/>
      <c r="M367" s="848"/>
      <c r="N367" s="848"/>
      <c r="O367" s="848"/>
      <c r="P367" s="848"/>
      <c r="Y367" s="849"/>
    </row>
    <row r="368" spans="5:25">
      <c r="E368" s="848"/>
      <c r="F368" s="848"/>
      <c r="G368" s="848"/>
      <c r="H368" s="848"/>
      <c r="I368" s="848"/>
      <c r="J368" s="848"/>
      <c r="K368" s="848"/>
      <c r="L368" s="848"/>
      <c r="M368" s="848"/>
      <c r="N368" s="848"/>
      <c r="O368" s="848"/>
      <c r="P368" s="848"/>
      <c r="Y368" s="849"/>
    </row>
    <row r="369" spans="5:25">
      <c r="E369" s="848"/>
      <c r="F369" s="848"/>
      <c r="G369" s="848"/>
      <c r="H369" s="848"/>
      <c r="I369" s="848"/>
      <c r="J369" s="848"/>
      <c r="K369" s="848"/>
      <c r="L369" s="848"/>
      <c r="M369" s="848"/>
      <c r="N369" s="848"/>
      <c r="O369" s="848"/>
      <c r="P369" s="848"/>
      <c r="Y369" s="849"/>
    </row>
    <row r="370" spans="5:25">
      <c r="E370" s="848"/>
      <c r="F370" s="848"/>
      <c r="G370" s="848"/>
      <c r="H370" s="848"/>
      <c r="I370" s="848"/>
      <c r="J370" s="848"/>
      <c r="K370" s="848"/>
      <c r="L370" s="848"/>
      <c r="M370" s="848"/>
      <c r="N370" s="848"/>
      <c r="O370" s="848"/>
      <c r="P370" s="848"/>
      <c r="Y370" s="849"/>
    </row>
    <row r="371" spans="5:25">
      <c r="E371" s="848"/>
      <c r="F371" s="848"/>
      <c r="G371" s="848"/>
      <c r="H371" s="848"/>
      <c r="I371" s="848"/>
      <c r="J371" s="848"/>
      <c r="K371" s="848"/>
      <c r="L371" s="848"/>
      <c r="M371" s="848"/>
      <c r="N371" s="848"/>
      <c r="O371" s="848"/>
      <c r="P371" s="848"/>
      <c r="Y371" s="849"/>
    </row>
    <row r="372" spans="5:25">
      <c r="E372" s="848"/>
      <c r="F372" s="848"/>
      <c r="G372" s="848"/>
      <c r="H372" s="848"/>
      <c r="I372" s="848"/>
      <c r="J372" s="848"/>
      <c r="K372" s="848"/>
      <c r="L372" s="848"/>
      <c r="M372" s="848"/>
      <c r="N372" s="848"/>
      <c r="O372" s="848"/>
      <c r="P372" s="848"/>
      <c r="Y372" s="849"/>
    </row>
    <row r="373" spans="5:25">
      <c r="E373" s="848"/>
      <c r="F373" s="848"/>
      <c r="G373" s="848"/>
      <c r="H373" s="848"/>
      <c r="I373" s="848"/>
      <c r="J373" s="848"/>
      <c r="K373" s="848"/>
      <c r="L373" s="848"/>
      <c r="M373" s="848"/>
      <c r="N373" s="848"/>
      <c r="O373" s="848"/>
      <c r="P373" s="848"/>
      <c r="Y373" s="849"/>
    </row>
    <row r="374" spans="5:25">
      <c r="E374" s="848"/>
      <c r="F374" s="848"/>
      <c r="G374" s="848"/>
      <c r="H374" s="848"/>
      <c r="I374" s="848"/>
      <c r="J374" s="848"/>
      <c r="K374" s="848"/>
      <c r="L374" s="848"/>
      <c r="M374" s="848"/>
      <c r="N374" s="848"/>
      <c r="O374" s="848"/>
      <c r="P374" s="848"/>
      <c r="Y374" s="849"/>
    </row>
    <row r="375" spans="5:25">
      <c r="E375" s="848"/>
      <c r="F375" s="848"/>
      <c r="G375" s="848"/>
      <c r="H375" s="848"/>
      <c r="I375" s="848"/>
      <c r="J375" s="848"/>
      <c r="K375" s="848"/>
      <c r="L375" s="848"/>
      <c r="M375" s="848"/>
      <c r="N375" s="848"/>
      <c r="O375" s="848"/>
      <c r="P375" s="848"/>
      <c r="Y375" s="849"/>
    </row>
    <row r="376" spans="5:25">
      <c r="E376" s="848"/>
      <c r="F376" s="848"/>
      <c r="G376" s="848"/>
      <c r="H376" s="848"/>
      <c r="I376" s="848"/>
      <c r="J376" s="848"/>
      <c r="K376" s="848"/>
      <c r="L376" s="848"/>
      <c r="M376" s="848"/>
      <c r="N376" s="848"/>
      <c r="O376" s="848"/>
      <c r="P376" s="848"/>
      <c r="Y376" s="849"/>
    </row>
    <row r="377" spans="5:25">
      <c r="E377" s="848"/>
      <c r="F377" s="848"/>
      <c r="G377" s="848"/>
      <c r="H377" s="848"/>
      <c r="I377" s="848"/>
      <c r="J377" s="848"/>
      <c r="K377" s="848"/>
      <c r="L377" s="848"/>
      <c r="M377" s="848"/>
      <c r="N377" s="848"/>
      <c r="O377" s="848"/>
      <c r="P377" s="848"/>
      <c r="Y377" s="849"/>
    </row>
    <row r="378" spans="5:25">
      <c r="E378" s="848"/>
      <c r="F378" s="848"/>
      <c r="G378" s="848"/>
      <c r="H378" s="848"/>
      <c r="I378" s="848"/>
      <c r="J378" s="848"/>
      <c r="K378" s="848"/>
      <c r="L378" s="848"/>
      <c r="M378" s="848"/>
      <c r="N378" s="848"/>
      <c r="O378" s="848"/>
      <c r="P378" s="848"/>
      <c r="Y378" s="849"/>
    </row>
    <row r="379" spans="5:25">
      <c r="E379" s="848"/>
      <c r="F379" s="848"/>
      <c r="G379" s="848"/>
      <c r="H379" s="848"/>
      <c r="I379" s="848"/>
      <c r="J379" s="848"/>
      <c r="K379" s="848"/>
      <c r="L379" s="848"/>
      <c r="M379" s="848"/>
      <c r="N379" s="848"/>
      <c r="O379" s="848"/>
      <c r="P379" s="848"/>
      <c r="Y379" s="849"/>
    </row>
    <row r="380" spans="5:25">
      <c r="E380" s="848"/>
      <c r="F380" s="848"/>
      <c r="G380" s="848"/>
      <c r="H380" s="848"/>
      <c r="I380" s="848"/>
      <c r="J380" s="848"/>
      <c r="K380" s="848"/>
      <c r="L380" s="848"/>
      <c r="M380" s="848"/>
      <c r="N380" s="848"/>
      <c r="O380" s="848"/>
      <c r="P380" s="848"/>
      <c r="Y380" s="849"/>
    </row>
    <row r="381" spans="5:25">
      <c r="E381" s="848"/>
      <c r="F381" s="848"/>
      <c r="G381" s="848"/>
      <c r="H381" s="848"/>
      <c r="I381" s="848"/>
      <c r="J381" s="848"/>
      <c r="K381" s="848"/>
      <c r="L381" s="848"/>
      <c r="M381" s="848"/>
      <c r="N381" s="848"/>
      <c r="O381" s="848"/>
      <c r="P381" s="848"/>
      <c r="Y381" s="849"/>
    </row>
    <row r="382" spans="5:25">
      <c r="E382" s="848"/>
      <c r="F382" s="848"/>
      <c r="G382" s="848"/>
      <c r="H382" s="848"/>
      <c r="I382" s="848"/>
      <c r="J382" s="848"/>
      <c r="K382" s="848"/>
      <c r="L382" s="848"/>
      <c r="M382" s="848"/>
      <c r="N382" s="848"/>
      <c r="O382" s="848"/>
      <c r="P382" s="848"/>
      <c r="Y382" s="849"/>
    </row>
    <row r="383" spans="5:25">
      <c r="E383" s="848"/>
      <c r="F383" s="848"/>
      <c r="G383" s="848"/>
      <c r="H383" s="848"/>
      <c r="I383" s="848"/>
      <c r="J383" s="848"/>
      <c r="K383" s="848"/>
      <c r="L383" s="848"/>
      <c r="M383" s="848"/>
      <c r="N383" s="848"/>
      <c r="O383" s="848"/>
      <c r="P383" s="848"/>
      <c r="Y383" s="849"/>
    </row>
    <row r="384" spans="5:25">
      <c r="E384" s="848"/>
      <c r="F384" s="848"/>
      <c r="G384" s="848"/>
      <c r="H384" s="848"/>
      <c r="I384" s="848"/>
      <c r="J384" s="848"/>
      <c r="K384" s="848"/>
      <c r="L384" s="848"/>
      <c r="M384" s="848"/>
      <c r="N384" s="848"/>
      <c r="O384" s="848"/>
      <c r="P384" s="848"/>
      <c r="Y384" s="849"/>
    </row>
    <row r="385" spans="5:25">
      <c r="E385" s="848"/>
      <c r="F385" s="848"/>
      <c r="G385" s="848"/>
      <c r="H385" s="848"/>
      <c r="I385" s="848"/>
      <c r="J385" s="848"/>
      <c r="K385" s="848"/>
      <c r="L385" s="848"/>
      <c r="M385" s="848"/>
      <c r="N385" s="848"/>
      <c r="O385" s="848"/>
      <c r="P385" s="848"/>
      <c r="Y385" s="849"/>
    </row>
    <row r="386" spans="5:25">
      <c r="E386" s="848"/>
      <c r="F386" s="848"/>
      <c r="G386" s="848"/>
      <c r="H386" s="848"/>
      <c r="I386" s="848"/>
      <c r="J386" s="848"/>
      <c r="K386" s="848"/>
      <c r="L386" s="848"/>
      <c r="M386" s="848"/>
      <c r="N386" s="848"/>
      <c r="O386" s="848"/>
      <c r="P386" s="848"/>
      <c r="Y386" s="849"/>
    </row>
    <row r="387" spans="5:25">
      <c r="E387" s="848"/>
      <c r="F387" s="848"/>
      <c r="G387" s="848"/>
      <c r="H387" s="848"/>
      <c r="I387" s="848"/>
      <c r="J387" s="848"/>
      <c r="K387" s="848"/>
      <c r="L387" s="848"/>
      <c r="M387" s="848"/>
      <c r="N387" s="848"/>
      <c r="O387" s="848"/>
      <c r="P387" s="848"/>
      <c r="Y387" s="849"/>
    </row>
    <row r="388" spans="5:25">
      <c r="E388" s="848"/>
      <c r="F388" s="848"/>
      <c r="G388" s="848"/>
      <c r="H388" s="848"/>
      <c r="I388" s="848"/>
      <c r="J388" s="848"/>
      <c r="K388" s="848"/>
      <c r="L388" s="848"/>
      <c r="M388" s="848"/>
      <c r="N388" s="848"/>
      <c r="O388" s="848"/>
      <c r="P388" s="848"/>
      <c r="Y388" s="849"/>
    </row>
    <row r="389" spans="5:25">
      <c r="E389" s="848"/>
      <c r="F389" s="848"/>
      <c r="G389" s="848"/>
      <c r="H389" s="848"/>
      <c r="I389" s="848"/>
      <c r="J389" s="848"/>
      <c r="K389" s="848"/>
      <c r="L389" s="848"/>
      <c r="M389" s="848"/>
      <c r="N389" s="848"/>
      <c r="O389" s="848"/>
      <c r="P389" s="848"/>
      <c r="Y389" s="849"/>
    </row>
    <row r="390" spans="5:25">
      <c r="E390" s="848"/>
      <c r="F390" s="848"/>
      <c r="G390" s="848"/>
      <c r="H390" s="848"/>
      <c r="I390" s="848"/>
      <c r="J390" s="848"/>
      <c r="K390" s="848"/>
      <c r="L390" s="848"/>
      <c r="M390" s="848"/>
      <c r="N390" s="848"/>
      <c r="O390" s="848"/>
      <c r="P390" s="848"/>
      <c r="Y390" s="849"/>
    </row>
    <row r="391" spans="5:25">
      <c r="E391" s="848"/>
      <c r="F391" s="848"/>
      <c r="G391" s="848"/>
      <c r="H391" s="848"/>
      <c r="I391" s="848"/>
      <c r="J391" s="848"/>
      <c r="K391" s="848"/>
      <c r="L391" s="848"/>
      <c r="M391" s="848"/>
      <c r="N391" s="848"/>
      <c r="O391" s="848"/>
      <c r="P391" s="848"/>
      <c r="Y391" s="849"/>
    </row>
    <row r="392" spans="5:25">
      <c r="E392" s="848"/>
      <c r="F392" s="848"/>
      <c r="G392" s="848"/>
      <c r="H392" s="848"/>
      <c r="I392" s="848"/>
      <c r="J392" s="848"/>
      <c r="K392" s="848"/>
      <c r="L392" s="848"/>
      <c r="M392" s="848"/>
      <c r="N392" s="848"/>
      <c r="O392" s="848"/>
      <c r="P392" s="848"/>
      <c r="Y392" s="849"/>
    </row>
    <row r="393" spans="5:25">
      <c r="E393" s="848"/>
      <c r="F393" s="848"/>
      <c r="G393" s="848"/>
      <c r="H393" s="848"/>
      <c r="I393" s="848"/>
      <c r="J393" s="848"/>
      <c r="K393" s="848"/>
      <c r="L393" s="848"/>
      <c r="M393" s="848"/>
      <c r="N393" s="848"/>
      <c r="O393" s="848"/>
      <c r="P393" s="848"/>
      <c r="Y393" s="849"/>
    </row>
    <row r="394" spans="5:25">
      <c r="E394" s="848"/>
      <c r="F394" s="848"/>
      <c r="G394" s="848"/>
      <c r="H394" s="848"/>
      <c r="I394" s="848"/>
      <c r="J394" s="848"/>
      <c r="K394" s="848"/>
      <c r="L394" s="848"/>
      <c r="M394" s="848"/>
      <c r="N394" s="848"/>
      <c r="O394" s="848"/>
      <c r="P394" s="848"/>
      <c r="Y394" s="849"/>
    </row>
    <row r="395" spans="5:25">
      <c r="E395" s="848"/>
      <c r="F395" s="848"/>
      <c r="G395" s="848"/>
      <c r="H395" s="848"/>
      <c r="I395" s="848"/>
      <c r="J395" s="848"/>
      <c r="K395" s="848"/>
      <c r="L395" s="848"/>
      <c r="M395" s="848"/>
      <c r="N395" s="848"/>
      <c r="O395" s="848"/>
      <c r="P395" s="848"/>
      <c r="Y395" s="849"/>
    </row>
    <row r="396" spans="5:25">
      <c r="E396" s="848"/>
      <c r="F396" s="848"/>
      <c r="G396" s="848"/>
      <c r="H396" s="848"/>
      <c r="I396" s="848"/>
      <c r="J396" s="848"/>
      <c r="K396" s="848"/>
      <c r="L396" s="848"/>
      <c r="M396" s="848"/>
      <c r="N396" s="848"/>
      <c r="O396" s="848"/>
      <c r="P396" s="848"/>
      <c r="Y396" s="849"/>
    </row>
    <row r="397" spans="5:25">
      <c r="E397" s="848"/>
      <c r="F397" s="848"/>
      <c r="G397" s="848"/>
      <c r="H397" s="848"/>
      <c r="I397" s="848"/>
      <c r="J397" s="848"/>
      <c r="K397" s="848"/>
      <c r="L397" s="848"/>
      <c r="M397" s="848"/>
      <c r="N397" s="848"/>
      <c r="O397" s="848"/>
      <c r="P397" s="848"/>
      <c r="Y397" s="849"/>
    </row>
    <row r="398" spans="5:25">
      <c r="E398" s="848"/>
      <c r="F398" s="848"/>
      <c r="G398" s="848"/>
      <c r="H398" s="848"/>
      <c r="I398" s="848"/>
      <c r="J398" s="848"/>
      <c r="K398" s="848"/>
      <c r="L398" s="848"/>
      <c r="M398" s="848"/>
      <c r="N398" s="848"/>
      <c r="O398" s="848"/>
      <c r="P398" s="848"/>
      <c r="Y398" s="849"/>
    </row>
    <row r="399" spans="5:25">
      <c r="E399" s="848"/>
      <c r="F399" s="848"/>
      <c r="G399" s="848"/>
      <c r="H399" s="848"/>
      <c r="I399" s="848"/>
      <c r="J399" s="848"/>
      <c r="K399" s="848"/>
      <c r="L399" s="848"/>
      <c r="M399" s="848"/>
      <c r="N399" s="848"/>
      <c r="O399" s="848"/>
      <c r="P399" s="848"/>
      <c r="Y399" s="849"/>
    </row>
    <row r="400" spans="5:25">
      <c r="E400" s="848"/>
      <c r="F400" s="848"/>
      <c r="G400" s="848"/>
      <c r="H400" s="848"/>
      <c r="I400" s="848"/>
      <c r="J400" s="848"/>
      <c r="K400" s="848"/>
      <c r="L400" s="848"/>
      <c r="M400" s="848"/>
      <c r="N400" s="848"/>
      <c r="O400" s="848"/>
      <c r="P400" s="848"/>
      <c r="Y400" s="849"/>
    </row>
    <row r="401" spans="5:25">
      <c r="E401" s="848"/>
      <c r="F401" s="848"/>
      <c r="G401" s="848"/>
      <c r="H401" s="848"/>
      <c r="I401" s="848"/>
      <c r="J401" s="848"/>
      <c r="K401" s="848"/>
      <c r="L401" s="848"/>
      <c r="M401" s="848"/>
      <c r="N401" s="848"/>
      <c r="O401" s="848"/>
      <c r="P401" s="848"/>
      <c r="Y401" s="849"/>
    </row>
    <row r="402" spans="5:25">
      <c r="E402" s="848"/>
      <c r="F402" s="848"/>
      <c r="G402" s="848"/>
      <c r="H402" s="848"/>
      <c r="I402" s="848"/>
      <c r="J402" s="848"/>
      <c r="K402" s="848"/>
      <c r="L402" s="848"/>
      <c r="M402" s="848"/>
      <c r="N402" s="848"/>
      <c r="O402" s="848"/>
      <c r="P402" s="848"/>
      <c r="Y402" s="849"/>
    </row>
    <row r="403" spans="5:25">
      <c r="E403" s="848"/>
      <c r="F403" s="848"/>
      <c r="G403" s="848"/>
      <c r="H403" s="848"/>
      <c r="I403" s="848"/>
      <c r="J403" s="848"/>
      <c r="K403" s="848"/>
      <c r="L403" s="848"/>
      <c r="M403" s="848"/>
      <c r="N403" s="848"/>
      <c r="O403" s="848"/>
      <c r="P403" s="848"/>
      <c r="Y403" s="849"/>
    </row>
    <row r="404" spans="5:25">
      <c r="E404" s="848"/>
      <c r="F404" s="848"/>
      <c r="G404" s="848"/>
      <c r="H404" s="848"/>
      <c r="I404" s="848"/>
      <c r="J404" s="848"/>
      <c r="K404" s="848"/>
      <c r="L404" s="848"/>
      <c r="M404" s="848"/>
      <c r="N404" s="848"/>
      <c r="O404" s="848"/>
      <c r="P404" s="848"/>
      <c r="Y404" s="849"/>
    </row>
    <row r="405" spans="5:25">
      <c r="E405" s="848"/>
      <c r="F405" s="848"/>
      <c r="G405" s="848"/>
      <c r="H405" s="848"/>
      <c r="I405" s="848"/>
      <c r="J405" s="848"/>
      <c r="K405" s="848"/>
      <c r="L405" s="848"/>
      <c r="M405" s="848"/>
      <c r="N405" s="848"/>
      <c r="O405" s="848"/>
      <c r="P405" s="848"/>
      <c r="Y405" s="849"/>
    </row>
    <row r="406" spans="5:25">
      <c r="E406" s="848"/>
      <c r="F406" s="848"/>
      <c r="G406" s="848"/>
      <c r="H406" s="848"/>
      <c r="I406" s="848"/>
      <c r="J406" s="848"/>
      <c r="K406" s="848"/>
      <c r="L406" s="848"/>
      <c r="M406" s="848"/>
      <c r="N406" s="848"/>
      <c r="O406" s="848"/>
      <c r="P406" s="848"/>
      <c r="Y406" s="849"/>
    </row>
    <row r="407" spans="5:25">
      <c r="E407" s="848"/>
      <c r="F407" s="848"/>
      <c r="G407" s="848"/>
      <c r="H407" s="848"/>
      <c r="I407" s="848"/>
      <c r="J407" s="848"/>
      <c r="K407" s="848"/>
      <c r="L407" s="848"/>
      <c r="M407" s="848"/>
      <c r="N407" s="848"/>
      <c r="O407" s="848"/>
      <c r="P407" s="848"/>
      <c r="Y407" s="849"/>
    </row>
    <row r="408" spans="5:25">
      <c r="E408" s="848"/>
      <c r="F408" s="848"/>
      <c r="G408" s="848"/>
      <c r="H408" s="848"/>
      <c r="I408" s="848"/>
      <c r="J408" s="848"/>
      <c r="K408" s="848"/>
      <c r="L408" s="848"/>
      <c r="M408" s="848"/>
      <c r="N408" s="848"/>
      <c r="O408" s="848"/>
      <c r="P408" s="848"/>
      <c r="Y408" s="849"/>
    </row>
    <row r="409" spans="5:25">
      <c r="E409" s="848"/>
      <c r="F409" s="848"/>
      <c r="G409" s="848"/>
      <c r="H409" s="848"/>
      <c r="I409" s="848"/>
      <c r="J409" s="848"/>
      <c r="K409" s="848"/>
      <c r="L409" s="848"/>
      <c r="M409" s="848"/>
      <c r="N409" s="848"/>
      <c r="O409" s="848"/>
      <c r="P409" s="848"/>
      <c r="Y409" s="849"/>
    </row>
    <row r="410" spans="5:25">
      <c r="E410" s="848"/>
      <c r="F410" s="848"/>
      <c r="G410" s="848"/>
      <c r="H410" s="848"/>
      <c r="I410" s="848"/>
      <c r="J410" s="848"/>
      <c r="K410" s="848"/>
      <c r="L410" s="848"/>
      <c r="M410" s="848"/>
      <c r="N410" s="848"/>
      <c r="O410" s="848"/>
      <c r="P410" s="848"/>
      <c r="Y410" s="849"/>
    </row>
    <row r="411" spans="5:25">
      <c r="E411" s="848"/>
      <c r="F411" s="848"/>
      <c r="G411" s="848"/>
      <c r="H411" s="848"/>
      <c r="I411" s="848"/>
      <c r="J411" s="848"/>
      <c r="K411" s="848"/>
      <c r="L411" s="848"/>
      <c r="M411" s="848"/>
      <c r="N411" s="848"/>
      <c r="O411" s="848"/>
      <c r="P411" s="848"/>
      <c r="Y411" s="849"/>
    </row>
    <row r="412" spans="5:25">
      <c r="E412" s="848"/>
      <c r="F412" s="848"/>
      <c r="G412" s="848"/>
      <c r="H412" s="848"/>
      <c r="I412" s="848"/>
      <c r="J412" s="848"/>
      <c r="K412" s="848"/>
      <c r="L412" s="848"/>
      <c r="M412" s="848"/>
      <c r="N412" s="848"/>
      <c r="O412" s="848"/>
      <c r="P412" s="848"/>
      <c r="Y412" s="849"/>
    </row>
    <row r="413" spans="5:25">
      <c r="E413" s="848"/>
      <c r="F413" s="848"/>
      <c r="G413" s="848"/>
      <c r="H413" s="848"/>
      <c r="I413" s="848"/>
      <c r="J413" s="848"/>
      <c r="K413" s="848"/>
      <c r="L413" s="848"/>
      <c r="M413" s="848"/>
      <c r="N413" s="848"/>
      <c r="O413" s="848"/>
      <c r="P413" s="848"/>
      <c r="Y413" s="849"/>
    </row>
    <row r="414" spans="5:25">
      <c r="E414" s="848"/>
      <c r="F414" s="848"/>
      <c r="G414" s="848"/>
      <c r="H414" s="848"/>
      <c r="I414" s="848"/>
      <c r="J414" s="848"/>
      <c r="K414" s="848"/>
      <c r="L414" s="848"/>
      <c r="M414" s="848"/>
      <c r="N414" s="848"/>
      <c r="O414" s="848"/>
      <c r="P414" s="848"/>
      <c r="Y414" s="849"/>
    </row>
    <row r="415" spans="5:25">
      <c r="E415" s="848"/>
      <c r="F415" s="848"/>
      <c r="G415" s="848"/>
      <c r="H415" s="848"/>
      <c r="I415" s="848"/>
      <c r="J415" s="848"/>
      <c r="K415" s="848"/>
      <c r="L415" s="848"/>
      <c r="M415" s="848"/>
      <c r="N415" s="848"/>
      <c r="O415" s="848"/>
      <c r="P415" s="848"/>
      <c r="Y415" s="849"/>
    </row>
    <row r="416" spans="5:25">
      <c r="E416" s="848"/>
      <c r="F416" s="848"/>
      <c r="G416" s="848"/>
      <c r="H416" s="848"/>
      <c r="I416" s="848"/>
      <c r="J416" s="848"/>
      <c r="K416" s="848"/>
      <c r="L416" s="848"/>
      <c r="M416" s="848"/>
      <c r="N416" s="848"/>
      <c r="O416" s="848"/>
      <c r="P416" s="848"/>
      <c r="Y416" s="849"/>
    </row>
    <row r="417" spans="5:25">
      <c r="E417" s="848"/>
      <c r="F417" s="848"/>
      <c r="G417" s="848"/>
      <c r="H417" s="848"/>
      <c r="I417" s="848"/>
      <c r="J417" s="848"/>
      <c r="K417" s="848"/>
      <c r="L417" s="848"/>
      <c r="M417" s="848"/>
      <c r="N417" s="848"/>
      <c r="O417" s="848"/>
      <c r="P417" s="848"/>
      <c r="Y417" s="849"/>
    </row>
    <row r="418" spans="5:25">
      <c r="E418" s="848"/>
      <c r="F418" s="848"/>
      <c r="G418" s="848"/>
      <c r="H418" s="848"/>
      <c r="I418" s="848"/>
      <c r="J418" s="848"/>
      <c r="K418" s="848"/>
      <c r="L418" s="848"/>
      <c r="M418" s="848"/>
      <c r="N418" s="848"/>
      <c r="O418" s="848"/>
      <c r="P418" s="848"/>
      <c r="Y418" s="849"/>
    </row>
    <row r="419" spans="5:25">
      <c r="E419" s="848"/>
      <c r="F419" s="848"/>
      <c r="G419" s="848"/>
      <c r="H419" s="848"/>
      <c r="I419" s="848"/>
      <c r="J419" s="848"/>
      <c r="K419" s="848"/>
      <c r="L419" s="848"/>
      <c r="M419" s="848"/>
      <c r="N419" s="848"/>
      <c r="O419" s="848"/>
      <c r="P419" s="848"/>
      <c r="Y419" s="849"/>
    </row>
    <row r="420" spans="5:25">
      <c r="E420" s="848"/>
      <c r="F420" s="848"/>
      <c r="G420" s="848"/>
      <c r="H420" s="848"/>
      <c r="I420" s="848"/>
      <c r="J420" s="848"/>
      <c r="K420" s="848"/>
      <c r="L420" s="848"/>
      <c r="M420" s="848"/>
      <c r="N420" s="848"/>
      <c r="O420" s="848"/>
      <c r="P420" s="848"/>
      <c r="Y420" s="849"/>
    </row>
    <row r="421" spans="5:25">
      <c r="E421" s="848"/>
      <c r="F421" s="848"/>
      <c r="G421" s="848"/>
      <c r="H421" s="848"/>
      <c r="I421" s="848"/>
      <c r="J421" s="848"/>
      <c r="K421" s="848"/>
      <c r="L421" s="848"/>
      <c r="M421" s="848"/>
      <c r="N421" s="848"/>
      <c r="O421" s="848"/>
      <c r="P421" s="848"/>
      <c r="Y421" s="849"/>
    </row>
    <row r="422" spans="5:25">
      <c r="E422" s="848"/>
      <c r="F422" s="848"/>
      <c r="G422" s="848"/>
      <c r="H422" s="848"/>
      <c r="I422" s="848"/>
      <c r="J422" s="848"/>
      <c r="K422" s="848"/>
      <c r="L422" s="848"/>
      <c r="M422" s="848"/>
      <c r="N422" s="848"/>
      <c r="O422" s="848"/>
      <c r="P422" s="848"/>
      <c r="Y422" s="849"/>
    </row>
    <row r="423" spans="5:25">
      <c r="E423" s="848"/>
      <c r="F423" s="848"/>
      <c r="G423" s="848"/>
      <c r="H423" s="848"/>
      <c r="I423" s="848"/>
      <c r="J423" s="848"/>
      <c r="K423" s="848"/>
      <c r="L423" s="848"/>
      <c r="M423" s="848"/>
      <c r="N423" s="848"/>
      <c r="O423" s="848"/>
      <c r="P423" s="848"/>
      <c r="Y423" s="849"/>
    </row>
    <row r="424" spans="5:25">
      <c r="E424" s="848"/>
      <c r="F424" s="848"/>
      <c r="G424" s="848"/>
      <c r="H424" s="848"/>
      <c r="I424" s="848"/>
      <c r="J424" s="848"/>
      <c r="K424" s="848"/>
      <c r="L424" s="848"/>
      <c r="M424" s="848"/>
      <c r="N424" s="848"/>
      <c r="O424" s="848"/>
      <c r="P424" s="848"/>
      <c r="Y424" s="849"/>
    </row>
    <row r="425" spans="5:25">
      <c r="E425" s="848"/>
      <c r="F425" s="848"/>
      <c r="G425" s="848"/>
      <c r="H425" s="848"/>
      <c r="I425" s="848"/>
      <c r="J425" s="848"/>
      <c r="K425" s="848"/>
      <c r="L425" s="848"/>
      <c r="M425" s="848"/>
      <c r="N425" s="848"/>
      <c r="O425" s="848"/>
      <c r="P425" s="848"/>
      <c r="Y425" s="849"/>
    </row>
    <row r="426" spans="5:25">
      <c r="E426" s="848"/>
      <c r="F426" s="848"/>
      <c r="G426" s="848"/>
      <c r="H426" s="848"/>
      <c r="I426" s="848"/>
      <c r="J426" s="848"/>
      <c r="K426" s="848"/>
      <c r="L426" s="848"/>
      <c r="M426" s="848"/>
      <c r="N426" s="848"/>
      <c r="O426" s="848"/>
      <c r="P426" s="848"/>
      <c r="Y426" s="849"/>
    </row>
    <row r="427" spans="5:25">
      <c r="E427" s="848"/>
      <c r="F427" s="848"/>
      <c r="G427" s="848"/>
      <c r="H427" s="848"/>
      <c r="I427" s="848"/>
      <c r="J427" s="848"/>
      <c r="K427" s="848"/>
      <c r="L427" s="848"/>
      <c r="M427" s="848"/>
      <c r="N427" s="848"/>
      <c r="O427" s="848"/>
      <c r="P427" s="848"/>
      <c r="Y427" s="849"/>
    </row>
    <row r="428" spans="5:25">
      <c r="E428" s="848"/>
      <c r="F428" s="848"/>
      <c r="G428" s="848"/>
      <c r="H428" s="848"/>
      <c r="I428" s="848"/>
      <c r="J428" s="848"/>
      <c r="K428" s="848"/>
      <c r="L428" s="848"/>
      <c r="M428" s="848"/>
      <c r="N428" s="848"/>
      <c r="O428" s="848"/>
      <c r="P428" s="848"/>
      <c r="Y428" s="849"/>
    </row>
    <row r="429" spans="5:25">
      <c r="E429" s="848"/>
      <c r="F429" s="848"/>
      <c r="G429" s="848"/>
      <c r="H429" s="848"/>
      <c r="I429" s="848"/>
      <c r="J429" s="848"/>
      <c r="K429" s="848"/>
      <c r="L429" s="848"/>
      <c r="M429" s="848"/>
      <c r="N429" s="848"/>
      <c r="O429" s="848"/>
      <c r="P429" s="848"/>
      <c r="Y429" s="849"/>
    </row>
    <row r="430" spans="5:25">
      <c r="E430" s="848"/>
      <c r="F430" s="848"/>
      <c r="G430" s="848"/>
      <c r="H430" s="848"/>
      <c r="I430" s="848"/>
      <c r="J430" s="848"/>
      <c r="K430" s="848"/>
      <c r="L430" s="848"/>
      <c r="M430" s="848"/>
      <c r="N430" s="848"/>
      <c r="O430" s="848"/>
      <c r="P430" s="848"/>
      <c r="Y430" s="849"/>
    </row>
    <row r="431" spans="5:25">
      <c r="E431" s="848"/>
      <c r="F431" s="848"/>
      <c r="G431" s="848"/>
      <c r="H431" s="848"/>
      <c r="I431" s="848"/>
      <c r="J431" s="848"/>
      <c r="K431" s="848"/>
      <c r="L431" s="848"/>
      <c r="M431" s="848"/>
      <c r="N431" s="848"/>
      <c r="O431" s="848"/>
      <c r="P431" s="848"/>
      <c r="Y431" s="849"/>
    </row>
    <row r="432" spans="5:25">
      <c r="E432" s="848"/>
      <c r="F432" s="848"/>
      <c r="G432" s="848"/>
      <c r="H432" s="848"/>
      <c r="I432" s="848"/>
      <c r="J432" s="848"/>
      <c r="K432" s="848"/>
      <c r="L432" s="848"/>
      <c r="M432" s="848"/>
      <c r="N432" s="848"/>
      <c r="O432" s="848"/>
      <c r="P432" s="848"/>
      <c r="Y432" s="849"/>
    </row>
    <row r="433" spans="5:25">
      <c r="E433" s="848"/>
      <c r="F433" s="848"/>
      <c r="G433" s="848"/>
      <c r="H433" s="848"/>
      <c r="I433" s="848"/>
      <c r="J433" s="848"/>
      <c r="K433" s="848"/>
      <c r="L433" s="848"/>
      <c r="M433" s="848"/>
      <c r="N433" s="848"/>
      <c r="O433" s="848"/>
      <c r="P433" s="848"/>
      <c r="Y433" s="849"/>
    </row>
    <row r="434" spans="5:25">
      <c r="E434" s="848"/>
      <c r="F434" s="848"/>
      <c r="G434" s="848"/>
      <c r="H434" s="848"/>
      <c r="I434" s="848"/>
      <c r="J434" s="848"/>
      <c r="K434" s="848"/>
      <c r="L434" s="848"/>
      <c r="M434" s="848"/>
      <c r="N434" s="848"/>
      <c r="O434" s="848"/>
      <c r="P434" s="848"/>
      <c r="Y434" s="849"/>
    </row>
    <row r="435" spans="5:25">
      <c r="E435" s="848"/>
      <c r="F435" s="848"/>
      <c r="G435" s="848"/>
      <c r="H435" s="848"/>
      <c r="I435" s="848"/>
      <c r="J435" s="848"/>
      <c r="K435" s="848"/>
      <c r="L435" s="848"/>
      <c r="M435" s="848"/>
      <c r="N435" s="848"/>
      <c r="O435" s="848"/>
      <c r="P435" s="848"/>
      <c r="Y435" s="849"/>
    </row>
    <row r="436" spans="5:25">
      <c r="E436" s="848"/>
      <c r="F436" s="848"/>
      <c r="G436" s="848"/>
      <c r="H436" s="848"/>
      <c r="I436" s="848"/>
      <c r="J436" s="848"/>
      <c r="K436" s="848"/>
      <c r="L436" s="848"/>
      <c r="M436" s="848"/>
      <c r="N436" s="848"/>
      <c r="O436" s="848"/>
      <c r="P436" s="848"/>
      <c r="Y436" s="849"/>
    </row>
    <row r="437" spans="5:25">
      <c r="E437" s="848"/>
      <c r="F437" s="848"/>
      <c r="G437" s="848"/>
      <c r="H437" s="848"/>
      <c r="I437" s="848"/>
      <c r="J437" s="848"/>
      <c r="K437" s="848"/>
      <c r="L437" s="848"/>
      <c r="M437" s="848"/>
      <c r="N437" s="848"/>
      <c r="O437" s="848"/>
      <c r="P437" s="848"/>
      <c r="Y437" s="849"/>
    </row>
    <row r="438" spans="5:25">
      <c r="E438" s="848"/>
      <c r="F438" s="848"/>
      <c r="G438" s="848"/>
      <c r="H438" s="848"/>
      <c r="I438" s="848"/>
      <c r="J438" s="848"/>
      <c r="K438" s="848"/>
      <c r="L438" s="848"/>
      <c r="M438" s="848"/>
      <c r="N438" s="848"/>
      <c r="O438" s="848"/>
      <c r="P438" s="848"/>
      <c r="Y438" s="849"/>
    </row>
    <row r="439" spans="5:25">
      <c r="E439" s="848"/>
      <c r="F439" s="848"/>
      <c r="G439" s="848"/>
      <c r="H439" s="848"/>
      <c r="I439" s="848"/>
      <c r="J439" s="848"/>
      <c r="K439" s="848"/>
      <c r="L439" s="848"/>
      <c r="M439" s="848"/>
      <c r="N439" s="848"/>
      <c r="O439" s="848"/>
      <c r="P439" s="848"/>
      <c r="Y439" s="849"/>
    </row>
    <row r="440" spans="5:25">
      <c r="E440" s="848"/>
      <c r="F440" s="848"/>
      <c r="G440" s="848"/>
      <c r="H440" s="848"/>
      <c r="I440" s="848"/>
      <c r="J440" s="848"/>
      <c r="K440" s="848"/>
      <c r="L440" s="848"/>
      <c r="M440" s="848"/>
      <c r="N440" s="848"/>
      <c r="O440" s="848"/>
      <c r="P440" s="848"/>
      <c r="Y440" s="849"/>
    </row>
    <row r="441" spans="5:25">
      <c r="E441" s="848"/>
      <c r="F441" s="848"/>
      <c r="G441" s="848"/>
      <c r="H441" s="848"/>
      <c r="I441" s="848"/>
      <c r="J441" s="848"/>
      <c r="K441" s="848"/>
      <c r="L441" s="848"/>
      <c r="M441" s="848"/>
      <c r="N441" s="848"/>
      <c r="O441" s="848"/>
      <c r="P441" s="848"/>
      <c r="Y441" s="849"/>
    </row>
    <row r="442" spans="5:25">
      <c r="E442" s="848"/>
      <c r="F442" s="848"/>
      <c r="G442" s="848"/>
      <c r="H442" s="848"/>
      <c r="I442" s="848"/>
      <c r="J442" s="848"/>
      <c r="K442" s="848"/>
      <c r="L442" s="848"/>
      <c r="M442" s="848"/>
      <c r="N442" s="848"/>
      <c r="O442" s="848"/>
      <c r="P442" s="848"/>
      <c r="Y442" s="849"/>
    </row>
    <row r="443" spans="5:25">
      <c r="E443" s="848"/>
      <c r="F443" s="848"/>
      <c r="G443" s="848"/>
      <c r="H443" s="848"/>
      <c r="I443" s="848"/>
      <c r="J443" s="848"/>
      <c r="K443" s="848"/>
      <c r="L443" s="848"/>
      <c r="M443" s="848"/>
      <c r="N443" s="848"/>
      <c r="O443" s="848"/>
      <c r="P443" s="848"/>
      <c r="Y443" s="849"/>
    </row>
    <row r="444" spans="5:25">
      <c r="E444" s="848"/>
      <c r="F444" s="848"/>
      <c r="G444" s="848"/>
      <c r="H444" s="848"/>
      <c r="I444" s="848"/>
      <c r="J444" s="848"/>
      <c r="K444" s="848"/>
      <c r="L444" s="848"/>
      <c r="M444" s="848"/>
      <c r="N444" s="848"/>
      <c r="O444" s="848"/>
      <c r="P444" s="848"/>
      <c r="Y444" s="849"/>
    </row>
    <row r="445" spans="5:25">
      <c r="E445" s="848"/>
      <c r="F445" s="848"/>
      <c r="G445" s="848"/>
      <c r="H445" s="848"/>
      <c r="I445" s="848"/>
      <c r="J445" s="848"/>
      <c r="K445" s="848"/>
      <c r="L445" s="848"/>
      <c r="M445" s="848"/>
      <c r="N445" s="848"/>
      <c r="O445" s="848"/>
      <c r="P445" s="848"/>
      <c r="Y445" s="849"/>
    </row>
    <row r="446" spans="5:25">
      <c r="E446" s="848"/>
      <c r="F446" s="848"/>
      <c r="G446" s="848"/>
      <c r="H446" s="848"/>
      <c r="I446" s="848"/>
      <c r="J446" s="848"/>
      <c r="K446" s="848"/>
      <c r="L446" s="848"/>
      <c r="M446" s="848"/>
      <c r="N446" s="848"/>
      <c r="O446" s="848"/>
      <c r="P446" s="848"/>
      <c r="Y446" s="849"/>
    </row>
    <row r="447" spans="5:25">
      <c r="E447" s="848"/>
      <c r="F447" s="848"/>
      <c r="G447" s="848"/>
      <c r="H447" s="848"/>
      <c r="I447" s="848"/>
      <c r="J447" s="848"/>
      <c r="K447" s="848"/>
      <c r="L447" s="848"/>
      <c r="M447" s="848"/>
      <c r="N447" s="848"/>
      <c r="O447" s="848"/>
      <c r="P447" s="848"/>
      <c r="Y447" s="849"/>
    </row>
    <row r="448" spans="5:25">
      <c r="E448" s="848"/>
      <c r="F448" s="848"/>
      <c r="G448" s="848"/>
      <c r="H448" s="848"/>
      <c r="I448" s="848"/>
      <c r="J448" s="848"/>
      <c r="K448" s="848"/>
      <c r="L448" s="848"/>
      <c r="M448" s="848"/>
      <c r="N448" s="848"/>
      <c r="O448" s="848"/>
      <c r="P448" s="848"/>
      <c r="Y448" s="849"/>
    </row>
    <row r="449" spans="5:25">
      <c r="E449" s="848"/>
      <c r="F449" s="848"/>
      <c r="G449" s="848"/>
      <c r="H449" s="848"/>
      <c r="I449" s="848"/>
      <c r="J449" s="848"/>
      <c r="K449" s="848"/>
      <c r="L449" s="848"/>
      <c r="M449" s="848"/>
      <c r="N449" s="848"/>
      <c r="O449" s="848"/>
      <c r="P449" s="848"/>
      <c r="Y449" s="849"/>
    </row>
    <row r="450" spans="5:25">
      <c r="E450" s="848"/>
      <c r="F450" s="848"/>
      <c r="G450" s="848"/>
      <c r="H450" s="848"/>
      <c r="I450" s="848"/>
      <c r="J450" s="848"/>
      <c r="K450" s="848"/>
      <c r="L450" s="848"/>
      <c r="M450" s="848"/>
      <c r="N450" s="848"/>
      <c r="O450" s="848"/>
      <c r="P450" s="848"/>
      <c r="Y450" s="849"/>
    </row>
    <row r="451" spans="5:25">
      <c r="E451" s="848"/>
      <c r="F451" s="848"/>
      <c r="G451" s="848"/>
      <c r="H451" s="848"/>
      <c r="I451" s="848"/>
      <c r="J451" s="848"/>
      <c r="K451" s="848"/>
      <c r="L451" s="848"/>
      <c r="M451" s="848"/>
      <c r="N451" s="848"/>
      <c r="O451" s="848"/>
      <c r="P451" s="848"/>
      <c r="Y451" s="849"/>
    </row>
    <row r="452" spans="5:25">
      <c r="E452" s="848"/>
      <c r="F452" s="848"/>
      <c r="G452" s="848"/>
      <c r="H452" s="848"/>
      <c r="I452" s="848"/>
      <c r="J452" s="848"/>
      <c r="K452" s="848"/>
      <c r="L452" s="848"/>
      <c r="M452" s="848"/>
      <c r="N452" s="848"/>
      <c r="O452" s="848"/>
      <c r="P452" s="848"/>
      <c r="Y452" s="849"/>
    </row>
    <row r="453" spans="5:25">
      <c r="E453" s="848"/>
      <c r="F453" s="848"/>
      <c r="G453" s="848"/>
      <c r="H453" s="848"/>
      <c r="I453" s="848"/>
      <c r="J453" s="848"/>
      <c r="K453" s="848"/>
      <c r="L453" s="848"/>
      <c r="M453" s="848"/>
      <c r="N453" s="848"/>
      <c r="O453" s="848"/>
      <c r="P453" s="848"/>
      <c r="Y453" s="849"/>
    </row>
    <row r="454" spans="5:25">
      <c r="E454" s="848"/>
      <c r="F454" s="848"/>
      <c r="G454" s="848"/>
      <c r="H454" s="848"/>
      <c r="I454" s="848"/>
      <c r="J454" s="848"/>
      <c r="K454" s="848"/>
      <c r="L454" s="848"/>
      <c r="M454" s="848"/>
      <c r="N454" s="848"/>
      <c r="O454" s="848"/>
      <c r="P454" s="848"/>
      <c r="Y454" s="849"/>
    </row>
    <row r="455" spans="5:25">
      <c r="E455" s="848"/>
      <c r="F455" s="848"/>
      <c r="G455" s="848"/>
      <c r="H455" s="848"/>
      <c r="I455" s="848"/>
      <c r="J455" s="848"/>
      <c r="K455" s="848"/>
      <c r="L455" s="848"/>
      <c r="M455" s="848"/>
      <c r="N455" s="848"/>
      <c r="O455" s="848"/>
      <c r="P455" s="848"/>
      <c r="Y455" s="849"/>
    </row>
    <row r="456" spans="5:25">
      <c r="E456" s="848"/>
      <c r="F456" s="848"/>
      <c r="G456" s="848"/>
      <c r="H456" s="848"/>
      <c r="I456" s="848"/>
      <c r="J456" s="848"/>
      <c r="K456" s="848"/>
      <c r="L456" s="848"/>
      <c r="M456" s="848"/>
      <c r="N456" s="848"/>
      <c r="O456" s="848"/>
      <c r="P456" s="848"/>
      <c r="Y456" s="849"/>
    </row>
    <row r="457" spans="5:25">
      <c r="E457" s="848"/>
      <c r="F457" s="848"/>
      <c r="G457" s="848"/>
      <c r="H457" s="848"/>
      <c r="I457" s="848"/>
      <c r="J457" s="848"/>
      <c r="K457" s="848"/>
      <c r="L457" s="848"/>
      <c r="M457" s="848"/>
      <c r="N457" s="848"/>
      <c r="O457" s="848"/>
      <c r="P457" s="848"/>
      <c r="Y457" s="849"/>
    </row>
    <row r="458" spans="5:25">
      <c r="E458" s="848"/>
      <c r="F458" s="848"/>
      <c r="G458" s="848"/>
      <c r="H458" s="848"/>
      <c r="I458" s="848"/>
      <c r="J458" s="848"/>
      <c r="K458" s="848"/>
      <c r="L458" s="848"/>
      <c r="M458" s="848"/>
      <c r="N458" s="848"/>
      <c r="O458" s="848"/>
      <c r="P458" s="848"/>
      <c r="Y458" s="849"/>
    </row>
    <row r="459" spans="5:25">
      <c r="E459" s="848"/>
      <c r="F459" s="848"/>
      <c r="G459" s="848"/>
      <c r="H459" s="848"/>
      <c r="I459" s="848"/>
      <c r="J459" s="848"/>
      <c r="K459" s="848"/>
      <c r="L459" s="848"/>
      <c r="M459" s="848"/>
      <c r="N459" s="848"/>
      <c r="O459" s="848"/>
      <c r="P459" s="848"/>
      <c r="Y459" s="849"/>
    </row>
    <row r="460" spans="5:25">
      <c r="E460" s="848"/>
      <c r="F460" s="848"/>
      <c r="G460" s="848"/>
      <c r="H460" s="848"/>
      <c r="I460" s="848"/>
      <c r="J460" s="848"/>
      <c r="K460" s="848"/>
      <c r="L460" s="848"/>
      <c r="M460" s="848"/>
      <c r="N460" s="848"/>
      <c r="O460" s="848"/>
      <c r="P460" s="848"/>
      <c r="Y460" s="849"/>
    </row>
    <row r="461" spans="5:25">
      <c r="E461" s="848"/>
      <c r="F461" s="848"/>
      <c r="G461" s="848"/>
      <c r="H461" s="848"/>
      <c r="I461" s="848"/>
      <c r="J461" s="848"/>
      <c r="K461" s="848"/>
      <c r="L461" s="848"/>
      <c r="M461" s="848"/>
      <c r="N461" s="848"/>
      <c r="O461" s="848"/>
      <c r="P461" s="848"/>
      <c r="Y461" s="849"/>
    </row>
    <row r="462" spans="5:25">
      <c r="E462" s="848"/>
      <c r="F462" s="848"/>
      <c r="G462" s="848"/>
      <c r="H462" s="848"/>
      <c r="I462" s="848"/>
      <c r="J462" s="848"/>
      <c r="K462" s="848"/>
      <c r="L462" s="848"/>
      <c r="M462" s="848"/>
      <c r="N462" s="848"/>
      <c r="O462" s="848"/>
      <c r="P462" s="848"/>
      <c r="Y462" s="849"/>
    </row>
    <row r="463" spans="5:25">
      <c r="E463" s="848"/>
      <c r="F463" s="848"/>
      <c r="G463" s="848"/>
      <c r="H463" s="848"/>
      <c r="I463" s="848"/>
      <c r="J463" s="848"/>
      <c r="K463" s="848"/>
      <c r="L463" s="848"/>
      <c r="M463" s="848"/>
      <c r="N463" s="848"/>
      <c r="O463" s="848"/>
      <c r="P463" s="848"/>
      <c r="Y463" s="849"/>
    </row>
    <row r="464" spans="5:25">
      <c r="E464" s="848"/>
      <c r="F464" s="848"/>
      <c r="G464" s="848"/>
      <c r="H464" s="848"/>
      <c r="I464" s="848"/>
      <c r="J464" s="848"/>
      <c r="K464" s="848"/>
      <c r="L464" s="848"/>
      <c r="M464" s="848"/>
      <c r="N464" s="848"/>
      <c r="O464" s="848"/>
      <c r="P464" s="848"/>
      <c r="Y464" s="849"/>
    </row>
    <row r="465" spans="5:25">
      <c r="E465" s="848"/>
      <c r="F465" s="848"/>
      <c r="G465" s="848"/>
      <c r="H465" s="848"/>
      <c r="I465" s="848"/>
      <c r="J465" s="848"/>
      <c r="K465" s="848"/>
      <c r="L465" s="848"/>
      <c r="M465" s="848"/>
      <c r="N465" s="848"/>
      <c r="O465" s="848"/>
      <c r="P465" s="848"/>
      <c r="Y465" s="849"/>
    </row>
    <row r="466" spans="5:25">
      <c r="E466" s="848"/>
      <c r="F466" s="848"/>
      <c r="G466" s="848"/>
      <c r="H466" s="848"/>
      <c r="I466" s="848"/>
      <c r="J466" s="848"/>
      <c r="K466" s="848"/>
      <c r="L466" s="848"/>
      <c r="M466" s="848"/>
      <c r="N466" s="848"/>
      <c r="O466" s="848"/>
      <c r="P466" s="848"/>
      <c r="Y466" s="849"/>
    </row>
    <row r="467" spans="5:25">
      <c r="E467" s="848"/>
      <c r="F467" s="848"/>
      <c r="G467" s="848"/>
      <c r="H467" s="848"/>
      <c r="I467" s="848"/>
      <c r="J467" s="848"/>
      <c r="K467" s="848"/>
      <c r="L467" s="848"/>
      <c r="M467" s="848"/>
      <c r="N467" s="848"/>
      <c r="O467" s="848"/>
      <c r="P467" s="848"/>
      <c r="Y467" s="849"/>
    </row>
    <row r="468" spans="5:25">
      <c r="E468" s="848"/>
      <c r="F468" s="848"/>
      <c r="G468" s="848"/>
      <c r="H468" s="848"/>
      <c r="I468" s="848"/>
      <c r="J468" s="848"/>
      <c r="K468" s="848"/>
      <c r="L468" s="848"/>
      <c r="M468" s="848"/>
      <c r="N468" s="848"/>
      <c r="O468" s="848"/>
      <c r="P468" s="848"/>
      <c r="Y468" s="849"/>
    </row>
    <row r="469" spans="5:25">
      <c r="E469" s="848"/>
      <c r="F469" s="848"/>
      <c r="G469" s="848"/>
      <c r="H469" s="848"/>
      <c r="I469" s="848"/>
      <c r="J469" s="848"/>
      <c r="K469" s="848"/>
      <c r="L469" s="848"/>
      <c r="M469" s="848"/>
      <c r="N469" s="848"/>
      <c r="O469" s="848"/>
      <c r="P469" s="848"/>
      <c r="Y469" s="849"/>
    </row>
    <row r="470" spans="5:25">
      <c r="E470" s="848"/>
      <c r="F470" s="848"/>
      <c r="G470" s="848"/>
      <c r="H470" s="848"/>
      <c r="I470" s="848"/>
      <c r="J470" s="848"/>
      <c r="K470" s="848"/>
      <c r="L470" s="848"/>
      <c r="M470" s="848"/>
      <c r="N470" s="848"/>
      <c r="O470" s="848"/>
      <c r="P470" s="848"/>
      <c r="Y470" s="849"/>
    </row>
    <row r="471" spans="5:25">
      <c r="E471" s="848"/>
      <c r="F471" s="848"/>
      <c r="G471" s="848"/>
      <c r="H471" s="848"/>
      <c r="I471" s="848"/>
      <c r="J471" s="848"/>
      <c r="K471" s="848"/>
      <c r="L471" s="848"/>
      <c r="M471" s="848"/>
      <c r="N471" s="848"/>
      <c r="O471" s="848"/>
      <c r="P471" s="848"/>
      <c r="Y471" s="849"/>
    </row>
    <row r="472" spans="5:25">
      <c r="E472" s="848"/>
      <c r="F472" s="848"/>
      <c r="G472" s="848"/>
      <c r="H472" s="848"/>
      <c r="I472" s="848"/>
      <c r="J472" s="848"/>
      <c r="K472" s="848"/>
      <c r="L472" s="848"/>
      <c r="M472" s="848"/>
      <c r="N472" s="848"/>
      <c r="O472" s="848"/>
      <c r="P472" s="848"/>
      <c r="Y472" s="849"/>
    </row>
    <row r="473" spans="5:25">
      <c r="E473" s="848"/>
      <c r="F473" s="848"/>
      <c r="G473" s="848"/>
      <c r="H473" s="848"/>
      <c r="I473" s="848"/>
      <c r="J473" s="848"/>
      <c r="K473" s="848"/>
      <c r="L473" s="848"/>
      <c r="M473" s="848"/>
      <c r="N473" s="848"/>
      <c r="O473" s="848"/>
      <c r="P473" s="848"/>
      <c r="Y473" s="849"/>
    </row>
    <row r="474" spans="5:25">
      <c r="E474" s="848"/>
      <c r="F474" s="848"/>
      <c r="G474" s="848"/>
      <c r="H474" s="848"/>
      <c r="I474" s="848"/>
      <c r="J474" s="848"/>
      <c r="K474" s="848"/>
      <c r="L474" s="848"/>
      <c r="M474" s="848"/>
      <c r="N474" s="848"/>
      <c r="O474" s="848"/>
      <c r="P474" s="848"/>
      <c r="Y474" s="849"/>
    </row>
    <row r="475" spans="5:25">
      <c r="E475" s="848"/>
      <c r="F475" s="848"/>
      <c r="G475" s="848"/>
      <c r="H475" s="848"/>
      <c r="I475" s="848"/>
      <c r="J475" s="848"/>
      <c r="K475" s="848"/>
      <c r="L475" s="848"/>
      <c r="M475" s="848"/>
      <c r="N475" s="848"/>
      <c r="O475" s="848"/>
      <c r="P475" s="848"/>
      <c r="Y475" s="849"/>
    </row>
    <row r="476" spans="5:25">
      <c r="E476" s="848"/>
      <c r="F476" s="848"/>
      <c r="G476" s="848"/>
      <c r="H476" s="848"/>
      <c r="I476" s="848"/>
      <c r="J476" s="848"/>
      <c r="K476" s="848"/>
      <c r="L476" s="848"/>
      <c r="M476" s="848"/>
      <c r="N476" s="848"/>
      <c r="O476" s="848"/>
      <c r="P476" s="848"/>
      <c r="Y476" s="849"/>
    </row>
    <row r="477" spans="5:25">
      <c r="E477" s="848"/>
      <c r="F477" s="848"/>
      <c r="G477" s="848"/>
      <c r="H477" s="848"/>
      <c r="I477" s="848"/>
      <c r="J477" s="848"/>
      <c r="K477" s="848"/>
      <c r="L477" s="848"/>
      <c r="M477" s="848"/>
      <c r="N477" s="848"/>
      <c r="O477" s="848"/>
      <c r="P477" s="848"/>
      <c r="Y477" s="849"/>
    </row>
    <row r="478" spans="5:25">
      <c r="E478" s="848"/>
      <c r="F478" s="848"/>
      <c r="G478" s="848"/>
      <c r="H478" s="848"/>
      <c r="I478" s="848"/>
      <c r="J478" s="848"/>
      <c r="K478" s="848"/>
      <c r="L478" s="848"/>
      <c r="M478" s="848"/>
      <c r="N478" s="848"/>
      <c r="O478" s="848"/>
      <c r="P478" s="848"/>
      <c r="Y478" s="849"/>
    </row>
    <row r="479" spans="5:25">
      <c r="E479" s="848"/>
      <c r="F479" s="848"/>
      <c r="G479" s="848"/>
      <c r="H479" s="848"/>
      <c r="I479" s="848"/>
      <c r="J479" s="848"/>
      <c r="K479" s="848"/>
      <c r="L479" s="848"/>
      <c r="M479" s="848"/>
      <c r="N479" s="848"/>
      <c r="O479" s="848"/>
      <c r="P479" s="848"/>
      <c r="Y479" s="849"/>
    </row>
    <row r="480" spans="5:25">
      <c r="E480" s="848"/>
      <c r="F480" s="848"/>
      <c r="G480" s="848"/>
      <c r="H480" s="848"/>
      <c r="I480" s="848"/>
      <c r="J480" s="848"/>
      <c r="K480" s="848"/>
      <c r="L480" s="848"/>
      <c r="M480" s="848"/>
      <c r="N480" s="848"/>
      <c r="O480" s="848"/>
      <c r="P480" s="848"/>
      <c r="Y480" s="849"/>
    </row>
    <row r="481" spans="5:25">
      <c r="E481" s="848"/>
      <c r="F481" s="848"/>
      <c r="G481" s="848"/>
      <c r="H481" s="848"/>
      <c r="I481" s="848"/>
      <c r="J481" s="848"/>
      <c r="K481" s="848"/>
      <c r="L481" s="848"/>
      <c r="M481" s="848"/>
      <c r="N481" s="848"/>
      <c r="O481" s="848"/>
      <c r="P481" s="848"/>
      <c r="Y481" s="849"/>
    </row>
    <row r="482" spans="5:25">
      <c r="E482" s="848"/>
      <c r="F482" s="848"/>
      <c r="G482" s="848"/>
      <c r="H482" s="848"/>
      <c r="I482" s="848"/>
      <c r="J482" s="848"/>
      <c r="K482" s="848"/>
      <c r="L482" s="848"/>
      <c r="M482" s="848"/>
      <c r="N482" s="848"/>
      <c r="O482" s="848"/>
      <c r="P482" s="848"/>
      <c r="Y482" s="849"/>
    </row>
    <row r="483" spans="5:25">
      <c r="E483" s="848"/>
      <c r="F483" s="848"/>
      <c r="G483" s="848"/>
      <c r="H483" s="848"/>
      <c r="I483" s="848"/>
      <c r="J483" s="848"/>
      <c r="K483" s="848"/>
      <c r="L483" s="848"/>
      <c r="M483" s="848"/>
      <c r="N483" s="848"/>
      <c r="O483" s="848"/>
      <c r="P483" s="848"/>
      <c r="Y483" s="849"/>
    </row>
    <row r="484" spans="5:25">
      <c r="E484" s="848"/>
      <c r="F484" s="848"/>
      <c r="G484" s="848"/>
      <c r="H484" s="848"/>
      <c r="I484" s="848"/>
      <c r="J484" s="848"/>
      <c r="K484" s="848"/>
      <c r="L484" s="848"/>
      <c r="M484" s="848"/>
      <c r="N484" s="848"/>
      <c r="O484" s="848"/>
      <c r="P484" s="848"/>
      <c r="Y484" s="849"/>
    </row>
    <row r="485" spans="5:25">
      <c r="E485" s="848"/>
      <c r="F485" s="848"/>
      <c r="G485" s="848"/>
      <c r="H485" s="848"/>
      <c r="I485" s="848"/>
      <c r="J485" s="848"/>
      <c r="K485" s="848"/>
      <c r="L485" s="848"/>
      <c r="M485" s="848"/>
      <c r="N485" s="848"/>
      <c r="O485" s="848"/>
      <c r="P485" s="848"/>
      <c r="Y485" s="849"/>
    </row>
    <row r="486" spans="5:25">
      <c r="E486" s="848"/>
      <c r="F486" s="848"/>
      <c r="G486" s="848"/>
      <c r="H486" s="848"/>
      <c r="I486" s="848"/>
      <c r="J486" s="848"/>
      <c r="K486" s="848"/>
      <c r="L486" s="848"/>
      <c r="M486" s="848"/>
      <c r="N486" s="848"/>
      <c r="O486" s="848"/>
      <c r="P486" s="848"/>
      <c r="Y486" s="849"/>
    </row>
    <row r="487" spans="5:25">
      <c r="E487" s="848"/>
      <c r="F487" s="848"/>
      <c r="G487" s="848"/>
      <c r="H487" s="848"/>
      <c r="I487" s="848"/>
      <c r="J487" s="848"/>
      <c r="K487" s="848"/>
      <c r="L487" s="848"/>
      <c r="M487" s="848"/>
      <c r="N487" s="848"/>
      <c r="O487" s="848"/>
      <c r="P487" s="848"/>
      <c r="Y487" s="849"/>
    </row>
    <row r="488" spans="5:25">
      <c r="E488" s="848"/>
      <c r="F488" s="848"/>
      <c r="G488" s="848"/>
      <c r="H488" s="848"/>
      <c r="I488" s="848"/>
      <c r="J488" s="848"/>
      <c r="K488" s="848"/>
      <c r="L488" s="848"/>
      <c r="M488" s="848"/>
      <c r="N488" s="848"/>
      <c r="O488" s="848"/>
      <c r="P488" s="848"/>
      <c r="Y488" s="849"/>
    </row>
    <row r="489" spans="5:25">
      <c r="E489" s="848"/>
      <c r="F489" s="848"/>
      <c r="G489" s="848"/>
      <c r="H489" s="848"/>
      <c r="I489" s="848"/>
      <c r="J489" s="848"/>
      <c r="K489" s="848"/>
      <c r="L489" s="848"/>
      <c r="M489" s="848"/>
      <c r="N489" s="848"/>
      <c r="O489" s="848"/>
      <c r="P489" s="848"/>
      <c r="Y489" s="849"/>
    </row>
    <row r="490" spans="5:25">
      <c r="E490" s="848"/>
      <c r="F490" s="848"/>
      <c r="G490" s="848"/>
      <c r="H490" s="848"/>
      <c r="I490" s="848"/>
      <c r="J490" s="848"/>
      <c r="K490" s="848"/>
      <c r="L490" s="848"/>
      <c r="M490" s="848"/>
      <c r="N490" s="848"/>
      <c r="O490" s="848"/>
      <c r="P490" s="848"/>
      <c r="Y490" s="849"/>
    </row>
    <row r="491" spans="5:25">
      <c r="E491" s="848"/>
      <c r="F491" s="848"/>
      <c r="G491" s="848"/>
      <c r="H491" s="848"/>
      <c r="I491" s="848"/>
      <c r="J491" s="848"/>
      <c r="K491" s="848"/>
      <c r="L491" s="848"/>
      <c r="M491" s="848"/>
      <c r="N491" s="848"/>
      <c r="O491" s="848"/>
      <c r="P491" s="848"/>
      <c r="Y491" s="849"/>
    </row>
    <row r="492" spans="5:25">
      <c r="E492" s="848"/>
      <c r="F492" s="848"/>
      <c r="G492" s="848"/>
      <c r="H492" s="848"/>
      <c r="I492" s="848"/>
      <c r="J492" s="848"/>
      <c r="K492" s="848"/>
      <c r="L492" s="848"/>
      <c r="M492" s="848"/>
      <c r="N492" s="848"/>
      <c r="O492" s="848"/>
      <c r="P492" s="848"/>
      <c r="Y492" s="849"/>
    </row>
    <row r="493" spans="5:25">
      <c r="E493" s="848"/>
      <c r="F493" s="848"/>
      <c r="G493" s="848"/>
      <c r="H493" s="848"/>
      <c r="I493" s="848"/>
      <c r="J493" s="848"/>
      <c r="K493" s="848"/>
      <c r="L493" s="848"/>
      <c r="M493" s="848"/>
      <c r="N493" s="848"/>
      <c r="O493" s="848"/>
      <c r="P493" s="848"/>
      <c r="Y493" s="849"/>
    </row>
    <row r="494" spans="5:25">
      <c r="E494" s="848"/>
      <c r="F494" s="848"/>
      <c r="G494" s="848"/>
      <c r="H494" s="848"/>
      <c r="I494" s="848"/>
      <c r="J494" s="848"/>
      <c r="K494" s="848"/>
      <c r="L494" s="848"/>
      <c r="M494" s="848"/>
      <c r="N494" s="848"/>
      <c r="O494" s="848"/>
      <c r="P494" s="848"/>
      <c r="Y494" s="849"/>
    </row>
    <row r="495" spans="5:25">
      <c r="E495" s="848"/>
      <c r="F495" s="848"/>
      <c r="G495" s="848"/>
      <c r="H495" s="848"/>
      <c r="I495" s="848"/>
      <c r="J495" s="848"/>
      <c r="K495" s="848"/>
      <c r="L495" s="848"/>
      <c r="M495" s="848"/>
      <c r="N495" s="848"/>
      <c r="O495" s="848"/>
      <c r="P495" s="848"/>
      <c r="Y495" s="849"/>
    </row>
    <row r="496" spans="5:25">
      <c r="E496" s="848"/>
      <c r="F496" s="848"/>
      <c r="G496" s="848"/>
      <c r="H496" s="848"/>
      <c r="I496" s="848"/>
      <c r="J496" s="848"/>
      <c r="K496" s="848"/>
      <c r="L496" s="848"/>
      <c r="M496" s="848"/>
      <c r="N496" s="848"/>
      <c r="O496" s="848"/>
      <c r="P496" s="848"/>
      <c r="Y496" s="849"/>
    </row>
    <row r="497" spans="5:25">
      <c r="E497" s="848"/>
      <c r="F497" s="848"/>
      <c r="G497" s="848"/>
      <c r="H497" s="848"/>
      <c r="I497" s="848"/>
      <c r="J497" s="848"/>
      <c r="K497" s="848"/>
      <c r="L497" s="848"/>
      <c r="M497" s="848"/>
      <c r="N497" s="848"/>
      <c r="O497" s="848"/>
      <c r="P497" s="848"/>
      <c r="Y497" s="849"/>
    </row>
    <row r="498" spans="5:25">
      <c r="E498" s="848"/>
      <c r="F498" s="848"/>
      <c r="G498" s="848"/>
      <c r="H498" s="848"/>
      <c r="I498" s="848"/>
      <c r="J498" s="848"/>
      <c r="K498" s="848"/>
      <c r="L498" s="848"/>
      <c r="M498" s="848"/>
      <c r="N498" s="848"/>
      <c r="O498" s="848"/>
      <c r="P498" s="848"/>
      <c r="Y498" s="849"/>
    </row>
    <row r="499" spans="5:25">
      <c r="E499" s="848"/>
      <c r="F499" s="848"/>
      <c r="G499" s="848"/>
      <c r="H499" s="848"/>
      <c r="I499" s="848"/>
      <c r="J499" s="848"/>
      <c r="K499" s="848"/>
      <c r="L499" s="848"/>
      <c r="M499" s="848"/>
      <c r="N499" s="848"/>
      <c r="O499" s="848"/>
      <c r="P499" s="848"/>
      <c r="Y499" s="849"/>
    </row>
    <row r="500" spans="5:25">
      <c r="E500" s="848"/>
      <c r="F500" s="848"/>
      <c r="G500" s="848"/>
      <c r="H500" s="848"/>
      <c r="I500" s="848"/>
      <c r="J500" s="848"/>
      <c r="K500" s="848"/>
      <c r="L500" s="848"/>
      <c r="M500" s="848"/>
      <c r="N500" s="848"/>
      <c r="O500" s="848"/>
      <c r="P500" s="848"/>
      <c r="Y500" s="849"/>
    </row>
    <row r="501" spans="5:25">
      <c r="E501" s="848"/>
      <c r="F501" s="848"/>
      <c r="G501" s="848"/>
      <c r="H501" s="848"/>
      <c r="I501" s="848"/>
      <c r="J501" s="848"/>
      <c r="K501" s="848"/>
      <c r="L501" s="848"/>
      <c r="M501" s="848"/>
      <c r="N501" s="848"/>
      <c r="O501" s="848"/>
      <c r="P501" s="848"/>
      <c r="Y501" s="849"/>
    </row>
    <row r="502" spans="5:25">
      <c r="E502" s="848"/>
      <c r="F502" s="848"/>
      <c r="G502" s="848"/>
      <c r="H502" s="848"/>
      <c r="I502" s="848"/>
      <c r="J502" s="848"/>
      <c r="K502" s="848"/>
      <c r="L502" s="848"/>
      <c r="M502" s="848"/>
      <c r="N502" s="848"/>
      <c r="O502" s="848"/>
      <c r="P502" s="848"/>
      <c r="Y502" s="849"/>
    </row>
    <row r="503" spans="5:25">
      <c r="E503" s="848"/>
      <c r="F503" s="848"/>
      <c r="G503" s="848"/>
      <c r="H503" s="848"/>
      <c r="I503" s="848"/>
      <c r="J503" s="848"/>
      <c r="K503" s="848"/>
      <c r="L503" s="848"/>
      <c r="M503" s="848"/>
      <c r="N503" s="848"/>
      <c r="O503" s="848"/>
      <c r="P503" s="848"/>
      <c r="Y503" s="849"/>
    </row>
    <row r="504" spans="5:25">
      <c r="E504" s="848"/>
      <c r="F504" s="848"/>
      <c r="G504" s="848"/>
      <c r="H504" s="848"/>
      <c r="I504" s="848"/>
      <c r="J504" s="848"/>
      <c r="K504" s="848"/>
      <c r="L504" s="848"/>
      <c r="M504" s="848"/>
      <c r="N504" s="848"/>
      <c r="O504" s="848"/>
      <c r="P504" s="848"/>
      <c r="Y504" s="849"/>
    </row>
    <row r="505" spans="5:25">
      <c r="E505" s="848"/>
      <c r="F505" s="848"/>
      <c r="G505" s="848"/>
      <c r="H505" s="848"/>
      <c r="I505" s="848"/>
      <c r="J505" s="848"/>
      <c r="K505" s="848"/>
      <c r="L505" s="848"/>
      <c r="M505" s="848"/>
      <c r="N505" s="848"/>
      <c r="O505" s="848"/>
      <c r="P505" s="848"/>
      <c r="Y505" s="849"/>
    </row>
    <row r="506" spans="5:25">
      <c r="E506" s="848"/>
      <c r="F506" s="848"/>
      <c r="G506" s="848"/>
      <c r="H506" s="848"/>
      <c r="I506" s="848"/>
      <c r="J506" s="848"/>
      <c r="K506" s="848"/>
      <c r="L506" s="848"/>
      <c r="M506" s="848"/>
      <c r="N506" s="848"/>
      <c r="O506" s="848"/>
      <c r="P506" s="848"/>
      <c r="Y506" s="849"/>
    </row>
    <row r="507" spans="5:25">
      <c r="E507" s="848"/>
      <c r="F507" s="848"/>
      <c r="G507" s="848"/>
      <c r="H507" s="848"/>
      <c r="I507" s="848"/>
      <c r="J507" s="848"/>
      <c r="K507" s="848"/>
      <c r="L507" s="848"/>
      <c r="M507" s="848"/>
      <c r="N507" s="848"/>
      <c r="O507" s="848"/>
      <c r="P507" s="848"/>
      <c r="Y507" s="849"/>
    </row>
    <row r="508" spans="5:25">
      <c r="E508" s="848"/>
      <c r="F508" s="848"/>
      <c r="G508" s="848"/>
      <c r="H508" s="848"/>
      <c r="I508" s="848"/>
      <c r="J508" s="848"/>
      <c r="K508" s="848"/>
      <c r="L508" s="848"/>
      <c r="M508" s="848"/>
      <c r="N508" s="848"/>
      <c r="O508" s="848"/>
      <c r="P508" s="848"/>
      <c r="Y508" s="849"/>
    </row>
    <row r="509" spans="5:25">
      <c r="E509" s="848"/>
      <c r="F509" s="848"/>
      <c r="G509" s="848"/>
      <c r="H509" s="848"/>
      <c r="I509" s="848"/>
      <c r="J509" s="848"/>
      <c r="K509" s="848"/>
      <c r="L509" s="848"/>
      <c r="M509" s="848"/>
      <c r="N509" s="848"/>
      <c r="O509" s="848"/>
      <c r="P509" s="848"/>
      <c r="Y509" s="849"/>
    </row>
    <row r="510" spans="5:25">
      <c r="E510" s="848"/>
      <c r="F510" s="848"/>
      <c r="G510" s="848"/>
      <c r="H510" s="848"/>
      <c r="I510" s="848"/>
      <c r="J510" s="848"/>
      <c r="K510" s="848"/>
      <c r="L510" s="848"/>
      <c r="M510" s="848"/>
      <c r="N510" s="848"/>
      <c r="O510" s="848"/>
      <c r="P510" s="848"/>
      <c r="Y510" s="849"/>
    </row>
    <row r="511" spans="5:25">
      <c r="E511" s="848"/>
      <c r="F511" s="848"/>
      <c r="G511" s="848"/>
      <c r="H511" s="848"/>
      <c r="I511" s="848"/>
      <c r="J511" s="848"/>
      <c r="K511" s="848"/>
      <c r="L511" s="848"/>
      <c r="M511" s="848"/>
      <c r="N511" s="848"/>
      <c r="O511" s="848"/>
      <c r="P511" s="848"/>
      <c r="Y511" s="849"/>
    </row>
    <row r="512" spans="5:25">
      <c r="E512" s="848"/>
      <c r="F512" s="848"/>
      <c r="G512" s="848"/>
      <c r="H512" s="848"/>
      <c r="I512" s="848"/>
      <c r="J512" s="848"/>
      <c r="K512" s="848"/>
      <c r="L512" s="848"/>
      <c r="M512" s="848"/>
      <c r="N512" s="848"/>
      <c r="O512" s="848"/>
      <c r="P512" s="848"/>
      <c r="Y512" s="849"/>
    </row>
    <row r="513" spans="5:25">
      <c r="E513" s="848"/>
      <c r="F513" s="848"/>
      <c r="G513" s="848"/>
      <c r="H513" s="848"/>
      <c r="I513" s="848"/>
      <c r="J513" s="848"/>
      <c r="K513" s="848"/>
      <c r="L513" s="848"/>
      <c r="M513" s="848"/>
      <c r="N513" s="848"/>
      <c r="O513" s="848"/>
      <c r="P513" s="848"/>
      <c r="Y513" s="849"/>
    </row>
    <row r="514" spans="5:25">
      <c r="E514" s="848"/>
      <c r="F514" s="848"/>
      <c r="G514" s="848"/>
      <c r="H514" s="848"/>
      <c r="I514" s="848"/>
      <c r="J514" s="848"/>
      <c r="K514" s="848"/>
      <c r="L514" s="848"/>
      <c r="M514" s="848"/>
      <c r="N514" s="848"/>
      <c r="O514" s="848"/>
      <c r="P514" s="848"/>
      <c r="Y514" s="849"/>
    </row>
    <row r="515" spans="5:25">
      <c r="E515" s="848"/>
      <c r="F515" s="848"/>
      <c r="G515" s="848"/>
      <c r="H515" s="848"/>
      <c r="I515" s="848"/>
      <c r="J515" s="848"/>
      <c r="K515" s="848"/>
      <c r="L515" s="848"/>
      <c r="M515" s="848"/>
      <c r="N515" s="848"/>
      <c r="O515" s="848"/>
      <c r="P515" s="848"/>
      <c r="Y515" s="849"/>
    </row>
    <row r="516" spans="5:25">
      <c r="E516" s="848"/>
      <c r="F516" s="848"/>
      <c r="G516" s="848"/>
      <c r="H516" s="848"/>
      <c r="I516" s="848"/>
      <c r="J516" s="848"/>
      <c r="K516" s="848"/>
      <c r="L516" s="848"/>
      <c r="M516" s="848"/>
      <c r="N516" s="848"/>
      <c r="O516" s="848"/>
      <c r="P516" s="848"/>
      <c r="Y516" s="849"/>
    </row>
    <row r="517" spans="5:25">
      <c r="E517" s="848"/>
      <c r="F517" s="848"/>
      <c r="G517" s="848"/>
      <c r="H517" s="848"/>
      <c r="I517" s="848"/>
      <c r="J517" s="848"/>
      <c r="K517" s="848"/>
      <c r="L517" s="848"/>
      <c r="M517" s="848"/>
      <c r="N517" s="848"/>
      <c r="O517" s="848"/>
      <c r="P517" s="848"/>
      <c r="Y517" s="849"/>
    </row>
    <row r="518" spans="5:25">
      <c r="E518" s="848"/>
      <c r="F518" s="848"/>
      <c r="G518" s="848"/>
      <c r="H518" s="848"/>
      <c r="I518" s="848"/>
      <c r="J518" s="848"/>
      <c r="K518" s="848"/>
      <c r="L518" s="848"/>
      <c r="M518" s="848"/>
      <c r="N518" s="848"/>
      <c r="O518" s="848"/>
      <c r="P518" s="848"/>
      <c r="Y518" s="849"/>
    </row>
    <row r="519" spans="5:25">
      <c r="E519" s="848"/>
      <c r="F519" s="848"/>
      <c r="G519" s="848"/>
      <c r="H519" s="848"/>
      <c r="I519" s="848"/>
      <c r="J519" s="848"/>
      <c r="K519" s="848"/>
      <c r="L519" s="848"/>
      <c r="M519" s="848"/>
      <c r="N519" s="848"/>
      <c r="O519" s="848"/>
      <c r="P519" s="848"/>
      <c r="Y519" s="849"/>
    </row>
    <row r="520" spans="5:25">
      <c r="E520" s="848"/>
      <c r="F520" s="848"/>
      <c r="G520" s="848"/>
      <c r="H520" s="848"/>
      <c r="I520" s="848"/>
      <c r="J520" s="848"/>
      <c r="K520" s="848"/>
      <c r="L520" s="848"/>
      <c r="M520" s="848"/>
      <c r="N520" s="848"/>
      <c r="O520" s="848"/>
      <c r="P520" s="848"/>
      <c r="Y520" s="849"/>
    </row>
    <row r="521" spans="5:25">
      <c r="E521" s="848"/>
      <c r="F521" s="848"/>
      <c r="G521" s="848"/>
      <c r="H521" s="848"/>
      <c r="I521" s="848"/>
      <c r="J521" s="848"/>
      <c r="K521" s="848"/>
      <c r="L521" s="848"/>
      <c r="M521" s="848"/>
      <c r="N521" s="848"/>
      <c r="O521" s="848"/>
      <c r="P521" s="848"/>
      <c r="Y521" s="849"/>
    </row>
    <row r="522" spans="5:25">
      <c r="E522" s="848"/>
      <c r="F522" s="848"/>
      <c r="G522" s="848"/>
      <c r="H522" s="848"/>
      <c r="I522" s="848"/>
      <c r="J522" s="848"/>
      <c r="K522" s="848"/>
      <c r="L522" s="848"/>
      <c r="M522" s="848"/>
      <c r="N522" s="848"/>
      <c r="O522" s="848"/>
      <c r="P522" s="848"/>
      <c r="Y522" s="849"/>
    </row>
    <row r="523" spans="5:25">
      <c r="E523" s="848"/>
      <c r="F523" s="848"/>
      <c r="G523" s="848"/>
      <c r="H523" s="848"/>
      <c r="I523" s="848"/>
      <c r="J523" s="848"/>
      <c r="K523" s="848"/>
      <c r="L523" s="848"/>
      <c r="M523" s="848"/>
      <c r="N523" s="848"/>
      <c r="O523" s="848"/>
      <c r="P523" s="848"/>
      <c r="Y523" s="849"/>
    </row>
    <row r="524" spans="5:25">
      <c r="E524" s="848"/>
      <c r="F524" s="848"/>
      <c r="G524" s="848"/>
      <c r="H524" s="848"/>
      <c r="I524" s="848"/>
      <c r="J524" s="848"/>
      <c r="K524" s="848"/>
      <c r="L524" s="848"/>
      <c r="M524" s="848"/>
      <c r="N524" s="848"/>
      <c r="O524" s="848"/>
      <c r="P524" s="848"/>
      <c r="Y524" s="849"/>
    </row>
    <row r="525" spans="5:25">
      <c r="E525" s="848"/>
      <c r="F525" s="848"/>
      <c r="G525" s="848"/>
      <c r="H525" s="848"/>
      <c r="I525" s="848"/>
      <c r="J525" s="848"/>
      <c r="K525" s="848"/>
      <c r="L525" s="848"/>
      <c r="M525" s="848"/>
      <c r="N525" s="848"/>
      <c r="O525" s="848"/>
      <c r="P525" s="848"/>
      <c r="Y525" s="849"/>
    </row>
    <row r="526" spans="5:25">
      <c r="E526" s="848"/>
      <c r="F526" s="848"/>
      <c r="G526" s="848"/>
      <c r="H526" s="848"/>
      <c r="I526" s="848"/>
      <c r="J526" s="848"/>
      <c r="K526" s="848"/>
      <c r="L526" s="848"/>
      <c r="M526" s="848"/>
      <c r="N526" s="848"/>
      <c r="O526" s="848"/>
      <c r="P526" s="848"/>
      <c r="Y526" s="849"/>
    </row>
    <row r="527" spans="5:25">
      <c r="E527" s="848"/>
      <c r="F527" s="848"/>
      <c r="G527" s="848"/>
      <c r="H527" s="848"/>
      <c r="I527" s="848"/>
      <c r="J527" s="848"/>
      <c r="K527" s="848"/>
      <c r="L527" s="848"/>
      <c r="M527" s="848"/>
      <c r="N527" s="848"/>
      <c r="O527" s="848"/>
      <c r="P527" s="848"/>
      <c r="Y527" s="849"/>
    </row>
    <row r="528" spans="5:25">
      <c r="E528" s="848"/>
      <c r="F528" s="848"/>
      <c r="G528" s="848"/>
      <c r="H528" s="848"/>
      <c r="I528" s="848"/>
      <c r="J528" s="848"/>
      <c r="K528" s="848"/>
      <c r="L528" s="848"/>
      <c r="M528" s="848"/>
      <c r="N528" s="848"/>
      <c r="O528" s="848"/>
      <c r="P528" s="848"/>
      <c r="Y528" s="849"/>
    </row>
  </sheetData>
  <mergeCells count="54">
    <mergeCell ref="A5:Y5"/>
    <mergeCell ref="B6:B8"/>
    <mergeCell ref="C6:C8"/>
    <mergeCell ref="D6:D8"/>
    <mergeCell ref="E6:L7"/>
    <mergeCell ref="Y6:Y8"/>
    <mergeCell ref="X6:X8"/>
    <mergeCell ref="M6:M7"/>
    <mergeCell ref="O6:O7"/>
    <mergeCell ref="P6:W7"/>
    <mergeCell ref="Y32:Y42"/>
    <mergeCell ref="X18:X20"/>
    <mergeCell ref="X27:X31"/>
    <mergeCell ref="Y21:Y31"/>
    <mergeCell ref="X38:X42"/>
    <mergeCell ref="C98:C102"/>
    <mergeCell ref="A65:W65"/>
    <mergeCell ref="X98:X102"/>
    <mergeCell ref="X54:X56"/>
    <mergeCell ref="C62:C63"/>
    <mergeCell ref="X61:X63"/>
    <mergeCell ref="C92:C96"/>
    <mergeCell ref="A57:A63"/>
    <mergeCell ref="A82:A85"/>
    <mergeCell ref="X77:X81"/>
    <mergeCell ref="A43:A49"/>
    <mergeCell ref="A32:A42"/>
    <mergeCell ref="C34:C37"/>
    <mergeCell ref="A21:A31"/>
    <mergeCell ref="C28:C31"/>
    <mergeCell ref="C23:C26"/>
    <mergeCell ref="C39:C42"/>
    <mergeCell ref="Y43:Y49"/>
    <mergeCell ref="C45:C46"/>
    <mergeCell ref="C48:C49"/>
    <mergeCell ref="X47:X49"/>
    <mergeCell ref="Y57:Y63"/>
    <mergeCell ref="C59:C60"/>
    <mergeCell ref="A103:A106"/>
    <mergeCell ref="Y103:Y106"/>
    <mergeCell ref="C105:C106"/>
    <mergeCell ref="A50:A56"/>
    <mergeCell ref="Y50:Y56"/>
    <mergeCell ref="C52:C53"/>
    <mergeCell ref="C55:C56"/>
    <mergeCell ref="A86:A89"/>
    <mergeCell ref="Y86:Y89"/>
    <mergeCell ref="C88:C89"/>
    <mergeCell ref="A90:A102"/>
    <mergeCell ref="Y90:Y102"/>
    <mergeCell ref="Y82:Y85"/>
    <mergeCell ref="C84:C85"/>
    <mergeCell ref="Y66:Y68"/>
    <mergeCell ref="Y69:Y73"/>
  </mergeCells>
  <printOptions horizontalCentered="1"/>
  <pageMargins left="0.15748031496062992" right="0.15748031496062992" top="0.55118110236220474" bottom="0.31496062992125984" header="0.15748031496062992" footer="0.15748031496062992"/>
  <pageSetup paperSize="9" scale="68" firstPageNumber="44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</oddHeader>
    <oddFooter>&amp;C&amp;8&amp;P</oddFooter>
  </headerFooter>
  <rowBreaks count="1" manualBreakCount="1">
    <brk id="63" max="2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CI849"/>
  <sheetViews>
    <sheetView showGridLines="0" view="pageBreakPreview" zoomScaleNormal="100" zoomScaleSheetLayoutView="100" workbookViewId="0">
      <pane xSplit="3" ySplit="9" topLeftCell="D56" activePane="bottomRight" state="frozen"/>
      <selection activeCell="U30" sqref="U30"/>
      <selection pane="topRight" activeCell="U30" sqref="U30"/>
      <selection pane="bottomLeft" activeCell="U30" sqref="U30"/>
      <selection pane="bottomRight" activeCell="M215" sqref="M215"/>
    </sheetView>
  </sheetViews>
  <sheetFormatPr defaultColWidth="9.140625" defaultRowHeight="12.75"/>
  <cols>
    <col min="1" max="1" width="4.7109375" style="1975" customWidth="1"/>
    <col min="2" max="2" width="52.7109375" style="1976" customWidth="1"/>
    <col min="3" max="3" width="10" style="1976" customWidth="1"/>
    <col min="4" max="4" width="11.5703125" style="1976" customWidth="1"/>
    <col min="5" max="5" width="10.42578125" style="1976" hidden="1" customWidth="1"/>
    <col min="6" max="6" width="9.42578125" style="2231" hidden="1" customWidth="1"/>
    <col min="7" max="8" width="9.42578125" style="1977" hidden="1" customWidth="1"/>
    <col min="9" max="9" width="10.42578125" style="1978" hidden="1" customWidth="1"/>
    <col min="10" max="10" width="11.140625" style="1978" hidden="1" customWidth="1"/>
    <col min="11" max="12" width="10.42578125" style="1978" hidden="1" customWidth="1"/>
    <col min="13" max="13" width="11" style="1976" customWidth="1"/>
    <col min="14" max="14" width="12.28515625" style="1976" hidden="1" customWidth="1"/>
    <col min="15" max="15" width="10.85546875" style="1976" customWidth="1"/>
    <col min="16" max="16" width="10.42578125" style="1976" customWidth="1"/>
    <col min="17" max="17" width="10.28515625" style="1976" customWidth="1"/>
    <col min="18" max="21" width="9.85546875" style="1976" customWidth="1"/>
    <col min="22" max="23" width="10.42578125" style="1976" bestFit="1" customWidth="1"/>
    <col min="24" max="24" width="12.5703125" style="1976" customWidth="1"/>
    <col min="25" max="25" width="13.5703125" style="2213" customWidth="1"/>
    <col min="26" max="26" width="15.140625" style="1976" customWidth="1"/>
    <col min="27" max="27" width="11.140625" style="1976" bestFit="1" customWidth="1"/>
    <col min="28" max="28" width="9.5703125" style="1976" bestFit="1" customWidth="1"/>
    <col min="29" max="16384" width="9.140625" style="1976"/>
  </cols>
  <sheetData>
    <row r="1" spans="1:87" ht="3.75" customHeight="1">
      <c r="F1" s="1977"/>
      <c r="O1" s="1979"/>
      <c r="X1" s="331"/>
      <c r="Y1" s="332"/>
    </row>
    <row r="2" spans="1:87" ht="15" customHeight="1">
      <c r="B2" s="1980"/>
      <c r="F2" s="1977"/>
      <c r="I2" s="1981"/>
      <c r="J2" s="1982" t="e">
        <f>+E13+I13+J13+K13+L13+N13+O13+P13+Q13+R13</f>
        <v>#REF!</v>
      </c>
      <c r="K2" s="1982"/>
      <c r="L2" s="1982"/>
      <c r="M2" s="1983"/>
      <c r="O2" s="1984"/>
      <c r="T2" s="1985" t="s">
        <v>211</v>
      </c>
      <c r="U2" s="1985"/>
      <c r="V2" s="1985"/>
      <c r="W2" s="1985"/>
      <c r="X2" s="331"/>
      <c r="Y2" s="332"/>
    </row>
    <row r="3" spans="1:87" ht="0.75" customHeight="1">
      <c r="F3" s="1977"/>
      <c r="N3" s="1986"/>
      <c r="O3" s="1986"/>
      <c r="P3" s="1986"/>
      <c r="Q3" s="1986"/>
      <c r="R3" s="1986"/>
      <c r="S3" s="1986"/>
      <c r="T3" s="1986"/>
      <c r="U3" s="1986"/>
      <c r="V3" s="1986"/>
      <c r="W3" s="1986"/>
      <c r="X3" s="331"/>
      <c r="Y3" s="332"/>
    </row>
    <row r="4" spans="1:87" ht="4.5" customHeight="1">
      <c r="F4" s="1977"/>
      <c r="N4" s="1986"/>
      <c r="O4" s="1986"/>
      <c r="P4" s="1986"/>
      <c r="Q4" s="1986"/>
      <c r="R4" s="1986"/>
      <c r="S4" s="1986"/>
      <c r="T4" s="1986"/>
      <c r="U4" s="1986"/>
      <c r="V4" s="1986"/>
      <c r="W4" s="1986"/>
      <c r="X4" s="331"/>
      <c r="Y4" s="332"/>
    </row>
    <row r="5" spans="1:87" s="1987" customFormat="1" ht="39" customHeight="1" thickBot="1">
      <c r="A5" s="4377" t="s">
        <v>212</v>
      </c>
      <c r="B5" s="4377"/>
      <c r="C5" s="4377"/>
      <c r="D5" s="4377"/>
      <c r="E5" s="4377"/>
      <c r="F5" s="4377"/>
      <c r="G5" s="4377"/>
      <c r="H5" s="4377"/>
      <c r="I5" s="4377"/>
      <c r="J5" s="4377"/>
      <c r="K5" s="4377"/>
      <c r="L5" s="4377"/>
      <c r="M5" s="4377"/>
      <c r="N5" s="4377"/>
      <c r="O5" s="4377"/>
      <c r="P5" s="4377"/>
      <c r="Q5" s="4377"/>
      <c r="R5" s="4377"/>
      <c r="S5" s="4377"/>
      <c r="T5" s="4377"/>
      <c r="U5" s="4377"/>
      <c r="V5" s="4377"/>
      <c r="W5" s="4377"/>
      <c r="X5" s="4377"/>
      <c r="Y5" s="4377"/>
    </row>
    <row r="6" spans="1:87" s="1991" customFormat="1" ht="33" customHeight="1" thickBot="1">
      <c r="A6" s="733"/>
      <c r="B6" s="4436" t="s">
        <v>91</v>
      </c>
      <c r="C6" s="4182" t="s">
        <v>87</v>
      </c>
      <c r="D6" s="3928" t="s">
        <v>147</v>
      </c>
      <c r="E6" s="1988" t="s">
        <v>379</v>
      </c>
      <c r="F6" s="1989"/>
      <c r="G6" s="1989"/>
      <c r="H6" s="1989"/>
      <c r="I6" s="1989"/>
      <c r="J6" s="1989"/>
      <c r="K6" s="1989"/>
      <c r="L6" s="1989"/>
      <c r="M6" s="4195" t="s">
        <v>523</v>
      </c>
      <c r="N6" s="1989"/>
      <c r="O6" s="4197" t="s">
        <v>539</v>
      </c>
      <c r="P6" s="4199" t="s">
        <v>540</v>
      </c>
      <c r="Q6" s="4200"/>
      <c r="R6" s="4200"/>
      <c r="S6" s="4200"/>
      <c r="T6" s="4200"/>
      <c r="U6" s="4200"/>
      <c r="V6" s="4200"/>
      <c r="W6" s="4201"/>
      <c r="X6" s="4189" t="s">
        <v>494</v>
      </c>
      <c r="Y6" s="4406" t="s">
        <v>89</v>
      </c>
      <c r="Z6" s="1990"/>
      <c r="AA6" s="1990"/>
      <c r="AB6" s="1990"/>
      <c r="AC6" s="1990"/>
      <c r="AD6" s="1990"/>
      <c r="AE6" s="1990"/>
      <c r="AF6" s="1990"/>
      <c r="AG6" s="1990"/>
      <c r="AH6" s="1990"/>
      <c r="AI6" s="1990"/>
      <c r="AJ6" s="1990"/>
      <c r="AK6" s="1990"/>
      <c r="AL6" s="1990"/>
      <c r="AM6" s="1990"/>
      <c r="AN6" s="1990"/>
      <c r="AO6" s="1990"/>
      <c r="AP6" s="1990"/>
      <c r="AQ6" s="1990"/>
      <c r="AR6" s="1990"/>
      <c r="AS6" s="1990"/>
      <c r="AT6" s="1990"/>
      <c r="AU6" s="1990"/>
      <c r="AV6" s="1990"/>
      <c r="AW6" s="1990"/>
      <c r="AX6" s="1990"/>
      <c r="AY6" s="1990"/>
      <c r="AZ6" s="1990"/>
      <c r="BA6" s="1990"/>
      <c r="BB6" s="1990"/>
      <c r="BC6" s="1990"/>
      <c r="BD6" s="1990"/>
      <c r="BE6" s="1990"/>
      <c r="BF6" s="1990"/>
      <c r="BG6" s="1990"/>
      <c r="BH6" s="1990"/>
      <c r="BI6" s="1990"/>
      <c r="BJ6" s="1990"/>
      <c r="BK6" s="1990"/>
      <c r="BL6" s="1990"/>
      <c r="BM6" s="1990"/>
      <c r="BN6" s="1990"/>
      <c r="BO6" s="1990"/>
      <c r="BP6" s="1990"/>
      <c r="BQ6" s="1990"/>
      <c r="BR6" s="1990"/>
      <c r="BS6" s="1990"/>
      <c r="BT6" s="1990"/>
      <c r="BU6" s="1990"/>
      <c r="BV6" s="1990"/>
      <c r="BW6" s="1990"/>
      <c r="BX6" s="1990"/>
      <c r="BY6" s="1990"/>
      <c r="BZ6" s="1990"/>
      <c r="CA6" s="1990"/>
      <c r="CB6" s="1990"/>
      <c r="CC6" s="1990"/>
      <c r="CD6" s="1990"/>
      <c r="CE6" s="1990"/>
      <c r="CF6" s="1990"/>
      <c r="CG6" s="1990"/>
      <c r="CH6" s="1990"/>
      <c r="CI6" s="1990"/>
    </row>
    <row r="7" spans="1:87" s="1991" customFormat="1" ht="24" customHeight="1" thickBot="1">
      <c r="A7" s="734" t="s">
        <v>90</v>
      </c>
      <c r="B7" s="4436"/>
      <c r="C7" s="4084"/>
      <c r="D7" s="3941"/>
      <c r="E7" s="1992"/>
      <c r="F7" s="1993"/>
      <c r="G7" s="1993"/>
      <c r="H7" s="1993"/>
      <c r="I7" s="1993"/>
      <c r="J7" s="1993"/>
      <c r="K7" s="1993"/>
      <c r="L7" s="1993"/>
      <c r="M7" s="4196"/>
      <c r="N7" s="1993"/>
      <c r="O7" s="4198"/>
      <c r="P7" s="4202"/>
      <c r="Q7" s="4203"/>
      <c r="R7" s="4203"/>
      <c r="S7" s="4203"/>
      <c r="T7" s="4203"/>
      <c r="U7" s="4203"/>
      <c r="V7" s="4203"/>
      <c r="W7" s="4204"/>
      <c r="X7" s="4437"/>
      <c r="Y7" s="4407"/>
      <c r="Z7" s="803">
        <f>+M10+O10+P10+Q10+R10+S10+T10+U10+V10+W10</f>
        <v>474653038</v>
      </c>
      <c r="AA7" s="1990"/>
      <c r="AB7" s="1990"/>
      <c r="AC7" s="1990"/>
      <c r="AD7" s="1990"/>
      <c r="AE7" s="1990"/>
      <c r="AF7" s="1990"/>
      <c r="AG7" s="1990"/>
      <c r="AH7" s="1990"/>
      <c r="AI7" s="1990"/>
      <c r="AJ7" s="1990"/>
      <c r="AK7" s="1990"/>
      <c r="AL7" s="1990"/>
      <c r="AM7" s="1990"/>
      <c r="AN7" s="1990"/>
      <c r="AO7" s="1990"/>
      <c r="AP7" s="1990"/>
      <c r="AQ7" s="1990"/>
      <c r="AR7" s="1990"/>
      <c r="AS7" s="1990"/>
      <c r="AT7" s="1990"/>
      <c r="AU7" s="1990"/>
      <c r="AV7" s="1990"/>
      <c r="AW7" s="1990"/>
      <c r="AX7" s="1990"/>
      <c r="AY7" s="1990"/>
      <c r="AZ7" s="1990"/>
      <c r="BA7" s="1990"/>
      <c r="BB7" s="1990"/>
      <c r="BC7" s="1990"/>
      <c r="BD7" s="1990"/>
      <c r="BE7" s="1990"/>
      <c r="BF7" s="1990"/>
      <c r="BG7" s="1990"/>
      <c r="BH7" s="1990"/>
      <c r="BI7" s="1990"/>
      <c r="BJ7" s="1990"/>
      <c r="BK7" s="1990"/>
      <c r="BL7" s="1990"/>
      <c r="BM7" s="1990"/>
      <c r="BN7" s="1990"/>
      <c r="BO7" s="1990"/>
      <c r="BP7" s="1990"/>
      <c r="BQ7" s="1990"/>
      <c r="BR7" s="1990"/>
      <c r="BS7" s="1990"/>
      <c r="BT7" s="1990"/>
      <c r="BU7" s="1990"/>
      <c r="BV7" s="1990"/>
      <c r="BW7" s="1990"/>
      <c r="BX7" s="1990"/>
      <c r="BY7" s="1990"/>
      <c r="BZ7" s="1990"/>
      <c r="CA7" s="1990"/>
      <c r="CB7" s="1990"/>
      <c r="CC7" s="1990"/>
      <c r="CD7" s="1990"/>
      <c r="CE7" s="1990"/>
      <c r="CF7" s="1990"/>
      <c r="CG7" s="1990"/>
      <c r="CH7" s="1990"/>
      <c r="CI7" s="1990"/>
    </row>
    <row r="8" spans="1:87" s="1991" customFormat="1" ht="40.5" customHeight="1" thickBot="1">
      <c r="A8" s="734"/>
      <c r="B8" s="4436"/>
      <c r="C8" s="4076"/>
      <c r="D8" s="3942"/>
      <c r="E8" s="1994" t="s">
        <v>6</v>
      </c>
      <c r="F8" s="1995" t="s">
        <v>7</v>
      </c>
      <c r="G8" s="1995" t="s">
        <v>378</v>
      </c>
      <c r="H8" s="1995" t="s">
        <v>9</v>
      </c>
      <c r="I8" s="1995" t="s">
        <v>10</v>
      </c>
      <c r="J8" s="1995" t="s">
        <v>11</v>
      </c>
      <c r="K8" s="1995" t="s">
        <v>12</v>
      </c>
      <c r="L8" s="1995" t="s">
        <v>13</v>
      </c>
      <c r="M8" s="1996" t="s">
        <v>495</v>
      </c>
      <c r="N8" s="1940" t="s">
        <v>14</v>
      </c>
      <c r="O8" s="1940" t="s">
        <v>15</v>
      </c>
      <c r="P8" s="1940" t="s">
        <v>16</v>
      </c>
      <c r="Q8" s="1940" t="s">
        <v>17</v>
      </c>
      <c r="R8" s="1940" t="s">
        <v>18</v>
      </c>
      <c r="S8" s="1997" t="s">
        <v>376</v>
      </c>
      <c r="T8" s="1997" t="s">
        <v>377</v>
      </c>
      <c r="U8" s="1997" t="s">
        <v>496</v>
      </c>
      <c r="V8" s="1997" t="s">
        <v>497</v>
      </c>
      <c r="W8" s="1997" t="s">
        <v>498</v>
      </c>
      <c r="X8" s="4438"/>
      <c r="Y8" s="4408"/>
      <c r="Z8" s="803"/>
      <c r="AA8" s="1990"/>
      <c r="AB8" s="1990"/>
      <c r="AC8" s="1990"/>
      <c r="AD8" s="1990"/>
      <c r="AE8" s="1990"/>
      <c r="AF8" s="1990"/>
      <c r="AG8" s="1990"/>
      <c r="AH8" s="1990"/>
      <c r="AI8" s="1990"/>
      <c r="AJ8" s="1990"/>
      <c r="AK8" s="1990"/>
      <c r="AL8" s="1990"/>
      <c r="AM8" s="1990"/>
      <c r="AN8" s="1990"/>
      <c r="AO8" s="1990"/>
      <c r="AP8" s="1990"/>
      <c r="AQ8" s="1990"/>
      <c r="AR8" s="1990"/>
      <c r="AS8" s="1990"/>
      <c r="AT8" s="1990"/>
      <c r="AU8" s="1990"/>
      <c r="AV8" s="1990"/>
      <c r="AW8" s="1990"/>
      <c r="AX8" s="1990"/>
      <c r="AY8" s="1990"/>
      <c r="AZ8" s="1990"/>
      <c r="BA8" s="1990"/>
      <c r="BB8" s="1990"/>
      <c r="BC8" s="1990"/>
      <c r="BD8" s="1990"/>
      <c r="BE8" s="1990"/>
      <c r="BF8" s="1990"/>
      <c r="BG8" s="1990"/>
      <c r="BH8" s="1990"/>
      <c r="BI8" s="1990"/>
      <c r="BJ8" s="1990"/>
      <c r="BK8" s="1990"/>
      <c r="BL8" s="1990"/>
      <c r="BM8" s="1990"/>
      <c r="BN8" s="1990"/>
      <c r="BO8" s="1990"/>
      <c r="BP8" s="1990"/>
      <c r="BQ8" s="1990"/>
      <c r="BR8" s="1990"/>
      <c r="BS8" s="1990"/>
      <c r="BT8" s="1990"/>
      <c r="BU8" s="1990"/>
      <c r="BV8" s="1990"/>
      <c r="BW8" s="1990"/>
      <c r="BX8" s="1990"/>
      <c r="BY8" s="1990"/>
      <c r="BZ8" s="1990"/>
      <c r="CA8" s="1990"/>
      <c r="CB8" s="1990"/>
      <c r="CC8" s="1990"/>
      <c r="CD8" s="1990"/>
      <c r="CE8" s="1990"/>
      <c r="CF8" s="1990"/>
      <c r="CG8" s="1990"/>
      <c r="CH8" s="1990"/>
      <c r="CI8" s="1990"/>
    </row>
    <row r="9" spans="1:87" s="1991" customFormat="1" ht="12.75" customHeight="1" thickBot="1">
      <c r="A9" s="1998">
        <v>1</v>
      </c>
      <c r="B9" s="1998"/>
      <c r="C9" s="1999" t="s">
        <v>148</v>
      </c>
      <c r="D9" s="2000" t="s">
        <v>149</v>
      </c>
      <c r="E9" s="2000"/>
      <c r="F9" s="2001"/>
      <c r="G9" s="2001"/>
      <c r="H9" s="2001"/>
      <c r="I9" s="2002"/>
      <c r="J9" s="2002"/>
      <c r="K9" s="2002"/>
      <c r="L9" s="2002"/>
      <c r="M9" s="724">
        <v>5</v>
      </c>
      <c r="N9" s="724" t="s">
        <v>493</v>
      </c>
      <c r="O9" s="724">
        <v>6</v>
      </c>
      <c r="P9" s="725">
        <v>7</v>
      </c>
      <c r="Q9" s="725">
        <v>8</v>
      </c>
      <c r="R9" s="725">
        <v>9</v>
      </c>
      <c r="S9" s="725">
        <v>10</v>
      </c>
      <c r="T9" s="725">
        <v>11</v>
      </c>
      <c r="U9" s="725">
        <v>12</v>
      </c>
      <c r="V9" s="725">
        <v>13</v>
      </c>
      <c r="W9" s="725">
        <v>14</v>
      </c>
      <c r="X9" s="2003">
        <v>15</v>
      </c>
      <c r="Y9" s="726">
        <v>16</v>
      </c>
      <c r="Z9" s="1991" t="s">
        <v>474</v>
      </c>
    </row>
    <row r="10" spans="1:87" s="2412" customFormat="1" ht="16.5" customHeight="1">
      <c r="A10" s="1879"/>
      <c r="B10" s="2452" t="s">
        <v>92</v>
      </c>
      <c r="C10" s="2453"/>
      <c r="D10" s="2454">
        <f>+D11+D12</f>
        <v>474653038</v>
      </c>
      <c r="E10" s="2454">
        <f>+E11+E12</f>
        <v>11324094</v>
      </c>
      <c r="F10" s="2455">
        <f t="shared" ref="F10:O10" si="0">+F11+F12</f>
        <v>1463345</v>
      </c>
      <c r="G10" s="2455">
        <f t="shared" ref="G10:H10" si="1">+G11+G12</f>
        <v>2764519</v>
      </c>
      <c r="H10" s="2455">
        <f t="shared" si="1"/>
        <v>6655202</v>
      </c>
      <c r="I10" s="2456">
        <f t="shared" si="0"/>
        <v>22790491</v>
      </c>
      <c r="J10" s="2456">
        <f t="shared" si="0"/>
        <v>14493806</v>
      </c>
      <c r="K10" s="2456">
        <f t="shared" si="0"/>
        <v>24049576</v>
      </c>
      <c r="L10" s="2456">
        <f>+L11+L12</f>
        <v>26222015</v>
      </c>
      <c r="M10" s="2454">
        <f>+M11+M12</f>
        <v>124206404</v>
      </c>
      <c r="N10" s="2454">
        <f t="shared" si="0"/>
        <v>25635899</v>
      </c>
      <c r="O10" s="2454">
        <f t="shared" si="0"/>
        <v>32229524</v>
      </c>
      <c r="P10" s="2454">
        <f t="shared" ref="P10:Q10" si="2">+P11+P12</f>
        <v>32922479</v>
      </c>
      <c r="Q10" s="2454">
        <f t="shared" si="2"/>
        <v>47198718</v>
      </c>
      <c r="R10" s="2454">
        <f>+R11+R12</f>
        <v>54658312</v>
      </c>
      <c r="S10" s="1882">
        <f t="shared" ref="S10:T10" si="3">+S11+S12</f>
        <v>62457386</v>
      </c>
      <c r="T10" s="1882">
        <f t="shared" si="3"/>
        <v>43050956</v>
      </c>
      <c r="U10" s="1882">
        <f t="shared" ref="U10:W10" si="4">+U11+U12</f>
        <v>27058858</v>
      </c>
      <c r="V10" s="1882">
        <f t="shared" si="4"/>
        <v>25246062</v>
      </c>
      <c r="W10" s="1882">
        <f t="shared" si="4"/>
        <v>25624339</v>
      </c>
      <c r="X10" s="1885">
        <f>+X11+X12</f>
        <v>318217110</v>
      </c>
      <c r="Y10" s="2457"/>
      <c r="Z10" s="2411">
        <f>X10-X13</f>
        <v>0</v>
      </c>
      <c r="AA10" s="2411"/>
    </row>
    <row r="11" spans="1:87" s="2412" customFormat="1" ht="15" customHeight="1">
      <c r="A11" s="1879"/>
      <c r="B11" s="1886" t="s">
        <v>93</v>
      </c>
      <c r="C11" s="1887"/>
      <c r="D11" s="1888">
        <f>+D28+D72+D94+D50+D114-D122+D174+D204+D231-D235</f>
        <v>366852842</v>
      </c>
      <c r="E11" s="1888">
        <f t="shared" ref="E11:W11" si="5">+E28+E72+E94+E50+E114-E122+E174+E204+E231-E235</f>
        <v>11189817</v>
      </c>
      <c r="F11" s="1888">
        <f t="shared" si="5"/>
        <v>1463345</v>
      </c>
      <c r="G11" s="1888">
        <f t="shared" si="5"/>
        <v>2764519</v>
      </c>
      <c r="H11" s="1888">
        <f t="shared" si="5"/>
        <v>6520925</v>
      </c>
      <c r="I11" s="1888">
        <f t="shared" si="5"/>
        <v>22398033</v>
      </c>
      <c r="J11" s="1888">
        <f t="shared" si="5"/>
        <v>14104815</v>
      </c>
      <c r="K11" s="1888">
        <f t="shared" si="5"/>
        <v>18333848</v>
      </c>
      <c r="L11" s="1888">
        <f t="shared" si="5"/>
        <v>19106695</v>
      </c>
      <c r="M11" s="1888">
        <f t="shared" si="5"/>
        <v>109766940</v>
      </c>
      <c r="N11" s="1888">
        <f t="shared" si="5"/>
        <v>24943209</v>
      </c>
      <c r="O11" s="1888">
        <f t="shared" si="5"/>
        <v>23226229</v>
      </c>
      <c r="P11" s="1888">
        <f>+P28+P72+P94+P50+P114-P122+P174+P204+P231-P235</f>
        <v>31595337</v>
      </c>
      <c r="Q11" s="1888">
        <f t="shared" si="5"/>
        <v>34629018</v>
      </c>
      <c r="R11" s="1888">
        <f>+R28+R72+R94+R50+R114-R122+R174+R204+R231-R235</f>
        <v>33357342</v>
      </c>
      <c r="S11" s="1888">
        <f t="shared" si="5"/>
        <v>28296561</v>
      </c>
      <c r="T11" s="1888">
        <f t="shared" si="5"/>
        <v>28553231</v>
      </c>
      <c r="U11" s="1888">
        <f t="shared" si="5"/>
        <v>26891833</v>
      </c>
      <c r="V11" s="1888">
        <f t="shared" si="5"/>
        <v>25079037</v>
      </c>
      <c r="W11" s="1888">
        <f t="shared" si="5"/>
        <v>25457314</v>
      </c>
      <c r="X11" s="2458">
        <f>+X28+X72+X94+X50+X114-X122+X174+X204+X231</f>
        <v>233859673</v>
      </c>
      <c r="Y11" s="2457"/>
      <c r="Z11" s="2411"/>
      <c r="AA11" s="2411"/>
    </row>
    <row r="12" spans="1:87" s="2412" customFormat="1" ht="14.25" customHeight="1" thickBot="1">
      <c r="A12" s="1879"/>
      <c r="B12" s="2459" t="s">
        <v>21</v>
      </c>
      <c r="C12" s="2460"/>
      <c r="D12" s="2461">
        <f>+D105+D84+D39+D61+D138-D140+D188+D215</f>
        <v>107800196</v>
      </c>
      <c r="E12" s="2461">
        <f t="shared" ref="E12:L12" si="6">+E105+E84+E39+E61+E138-E140</f>
        <v>134277</v>
      </c>
      <c r="F12" s="2461">
        <f t="shared" si="6"/>
        <v>0</v>
      </c>
      <c r="G12" s="2461">
        <f t="shared" si="6"/>
        <v>0</v>
      </c>
      <c r="H12" s="2461">
        <f t="shared" si="6"/>
        <v>134277</v>
      </c>
      <c r="I12" s="2461">
        <f t="shared" si="6"/>
        <v>392458</v>
      </c>
      <c r="J12" s="2461">
        <f t="shared" si="6"/>
        <v>388991</v>
      </c>
      <c r="K12" s="2461">
        <f t="shared" si="6"/>
        <v>5715728</v>
      </c>
      <c r="L12" s="2461">
        <f t="shared" si="6"/>
        <v>7115320</v>
      </c>
      <c r="M12" s="2461">
        <f t="shared" ref="M12:W12" si="7">+M105+M84+M39+M61+M138-M140+M188+M215</f>
        <v>14439464</v>
      </c>
      <c r="N12" s="2461">
        <f t="shared" si="7"/>
        <v>692690</v>
      </c>
      <c r="O12" s="2461">
        <f t="shared" si="7"/>
        <v>9003295</v>
      </c>
      <c r="P12" s="2461">
        <f t="shared" si="7"/>
        <v>1327142</v>
      </c>
      <c r="Q12" s="2461">
        <f t="shared" si="7"/>
        <v>12569700</v>
      </c>
      <c r="R12" s="2461">
        <f t="shared" si="7"/>
        <v>21300970</v>
      </c>
      <c r="S12" s="2461">
        <f t="shared" si="7"/>
        <v>34160825</v>
      </c>
      <c r="T12" s="2461">
        <f t="shared" si="7"/>
        <v>14497725</v>
      </c>
      <c r="U12" s="2461">
        <f t="shared" si="7"/>
        <v>167025</v>
      </c>
      <c r="V12" s="2461">
        <f t="shared" si="7"/>
        <v>167025</v>
      </c>
      <c r="W12" s="2461">
        <f t="shared" si="7"/>
        <v>167025</v>
      </c>
      <c r="X12" s="2462">
        <f>+X105+X84+X39+X61+X138-X140+X188+X215</f>
        <v>84357437</v>
      </c>
      <c r="Y12" s="2457"/>
    </row>
    <row r="13" spans="1:87" s="2009" customFormat="1" ht="13.5" customHeight="1">
      <c r="A13" s="745"/>
      <c r="B13" s="746" t="s">
        <v>22</v>
      </c>
      <c r="C13" s="747"/>
      <c r="D13" s="748">
        <f>+D14+D19</f>
        <v>479098354</v>
      </c>
      <c r="E13" s="748" t="e">
        <f t="shared" ref="E13:W13" si="8">+E14+E19</f>
        <v>#REF!</v>
      </c>
      <c r="F13" s="2005" t="e">
        <f t="shared" si="8"/>
        <v>#REF!</v>
      </c>
      <c r="G13" s="2005" t="e">
        <f t="shared" si="8"/>
        <v>#REF!</v>
      </c>
      <c r="H13" s="2005" t="e">
        <f t="shared" si="8"/>
        <v>#REF!</v>
      </c>
      <c r="I13" s="2006" t="e">
        <f t="shared" si="8"/>
        <v>#REF!</v>
      </c>
      <c r="J13" s="2006" t="e">
        <f t="shared" si="8"/>
        <v>#REF!</v>
      </c>
      <c r="K13" s="2006" t="e">
        <f t="shared" si="8"/>
        <v>#REF!</v>
      </c>
      <c r="L13" s="2006" t="e">
        <f t="shared" si="8"/>
        <v>#REF!</v>
      </c>
      <c r="M13" s="748">
        <f t="shared" si="8"/>
        <v>124206404</v>
      </c>
      <c r="N13" s="748">
        <f t="shared" si="8"/>
        <v>25635899</v>
      </c>
      <c r="O13" s="748">
        <f t="shared" si="8"/>
        <v>32229524</v>
      </c>
      <c r="P13" s="748">
        <f t="shared" si="8"/>
        <v>33653180</v>
      </c>
      <c r="Q13" s="748">
        <f t="shared" si="8"/>
        <v>47931738</v>
      </c>
      <c r="R13" s="748">
        <f t="shared" si="8"/>
        <v>55282546</v>
      </c>
      <c r="S13" s="748">
        <f t="shared" si="8"/>
        <v>62928859</v>
      </c>
      <c r="T13" s="748">
        <f t="shared" si="8"/>
        <v>43522428</v>
      </c>
      <c r="U13" s="748">
        <f t="shared" si="8"/>
        <v>27530330</v>
      </c>
      <c r="V13" s="748">
        <f t="shared" si="8"/>
        <v>25717534</v>
      </c>
      <c r="W13" s="748">
        <f t="shared" si="8"/>
        <v>26095811</v>
      </c>
      <c r="X13" s="852">
        <f>+X14+X19</f>
        <v>318217110</v>
      </c>
      <c r="Y13" s="743"/>
      <c r="Z13" s="2007">
        <f>+M13+O13+P13+Q13+R13+S13+T13+U13+V13+W13</f>
        <v>479098354</v>
      </c>
      <c r="AA13" s="2008"/>
    </row>
    <row r="14" spans="1:87" s="2014" customFormat="1" ht="13.5" customHeight="1">
      <c r="A14" s="741"/>
      <c r="B14" s="749" t="s">
        <v>23</v>
      </c>
      <c r="C14" s="750"/>
      <c r="D14" s="2010">
        <f>+D15+D16+D17+D18</f>
        <v>61626970</v>
      </c>
      <c r="E14" s="2010" t="e">
        <f t="shared" ref="E14:L14" si="9">+E15+E16+E18</f>
        <v>#REF!</v>
      </c>
      <c r="F14" s="2010" t="e">
        <f t="shared" si="9"/>
        <v>#REF!</v>
      </c>
      <c r="G14" s="2010" t="e">
        <f t="shared" si="9"/>
        <v>#REF!</v>
      </c>
      <c r="H14" s="2010" t="e">
        <f t="shared" si="9"/>
        <v>#REF!</v>
      </c>
      <c r="I14" s="2010" t="e">
        <f t="shared" si="9"/>
        <v>#REF!</v>
      </c>
      <c r="J14" s="2010" t="e">
        <f t="shared" si="9"/>
        <v>#REF!</v>
      </c>
      <c r="K14" s="2010" t="e">
        <f t="shared" si="9"/>
        <v>#REF!</v>
      </c>
      <c r="L14" s="2010" t="e">
        <f t="shared" si="9"/>
        <v>#REF!</v>
      </c>
      <c r="M14" s="2010">
        <f t="shared" ref="M14:W14" si="10">+M15+M16+M17+M18</f>
        <v>3488934</v>
      </c>
      <c r="N14" s="2010">
        <f t="shared" si="10"/>
        <v>146168</v>
      </c>
      <c r="O14" s="2010">
        <f t="shared" si="10"/>
        <v>2147457</v>
      </c>
      <c r="P14" s="2010">
        <f t="shared" si="10"/>
        <v>5709935</v>
      </c>
      <c r="Q14" s="2010">
        <f t="shared" si="10"/>
        <v>10128966</v>
      </c>
      <c r="R14" s="2010">
        <f t="shared" si="10"/>
        <v>11144935</v>
      </c>
      <c r="S14" s="2010">
        <f t="shared" si="10"/>
        <v>10301040</v>
      </c>
      <c r="T14" s="2010">
        <f t="shared" si="10"/>
        <v>7452175</v>
      </c>
      <c r="U14" s="2010">
        <f t="shared" si="10"/>
        <v>5113495</v>
      </c>
      <c r="V14" s="2010">
        <f t="shared" si="10"/>
        <v>3022668</v>
      </c>
      <c r="W14" s="2010">
        <f t="shared" si="10"/>
        <v>3117365</v>
      </c>
      <c r="X14" s="2011">
        <f>+X15+X16+X17+X18</f>
        <v>51545263</v>
      </c>
      <c r="Y14" s="2012"/>
      <c r="Z14" s="2013"/>
      <c r="AA14" s="2013"/>
      <c r="AB14" s="2013"/>
      <c r="AC14" s="2013"/>
      <c r="AD14" s="2013"/>
      <c r="AE14" s="2013"/>
      <c r="AF14" s="2013"/>
      <c r="AG14" s="2013"/>
      <c r="AH14" s="2013"/>
      <c r="AI14" s="2013"/>
      <c r="AJ14" s="2013"/>
      <c r="AK14" s="2013"/>
    </row>
    <row r="15" spans="1:87" s="2017" customFormat="1" ht="12" customHeight="1">
      <c r="A15" s="753"/>
      <c r="B15" s="754" t="s">
        <v>24</v>
      </c>
      <c r="C15" s="755"/>
      <c r="D15" s="2015">
        <f>+D107+D116+D158+D233</f>
        <v>49366131</v>
      </c>
      <c r="E15" s="2015" t="e">
        <f>+E107+E116+#REF!</f>
        <v>#REF!</v>
      </c>
      <c r="F15" s="2015" t="e">
        <f>+F107+F116+#REF!</f>
        <v>#REF!</v>
      </c>
      <c r="G15" s="2015" t="e">
        <f>+G107+G116+#REF!</f>
        <v>#REF!</v>
      </c>
      <c r="H15" s="2015" t="e">
        <f>+H107+H116+#REF!</f>
        <v>#REF!</v>
      </c>
      <c r="I15" s="2015" t="e">
        <f>+I107+I116+#REF!</f>
        <v>#REF!</v>
      </c>
      <c r="J15" s="2015" t="e">
        <f>+J107+J116+#REF!</f>
        <v>#REF!</v>
      </c>
      <c r="K15" s="2015" t="e">
        <f>+K107+K116+#REF!</f>
        <v>#REF!</v>
      </c>
      <c r="L15" s="2015" t="e">
        <f>+L107+L116+#REF!</f>
        <v>#REF!</v>
      </c>
      <c r="M15" s="2015">
        <f>+M107+M116+M158+M233</f>
        <v>3169946</v>
      </c>
      <c r="N15" s="2015">
        <f t="shared" ref="N15" si="11">+N107+N116+N158</f>
        <v>66816</v>
      </c>
      <c r="O15" s="2015">
        <f t="shared" ref="O15:V15" si="12">+O107+O116+O158+O233</f>
        <v>1832222</v>
      </c>
      <c r="P15" s="2015">
        <f t="shared" si="12"/>
        <v>4468494</v>
      </c>
      <c r="Q15" s="2015">
        <f t="shared" si="12"/>
        <v>8653645</v>
      </c>
      <c r="R15" s="2015">
        <f>+R107+R116+R158+R233</f>
        <v>9750142</v>
      </c>
      <c r="S15" s="2015">
        <f t="shared" si="12"/>
        <v>6276367</v>
      </c>
      <c r="T15" s="2015">
        <f t="shared" si="12"/>
        <v>5376203</v>
      </c>
      <c r="U15" s="2015">
        <f t="shared" si="12"/>
        <v>4642023</v>
      </c>
      <c r="V15" s="2015">
        <f t="shared" si="12"/>
        <v>2551196</v>
      </c>
      <c r="W15" s="2015">
        <f>+W107+W116+W158+W233</f>
        <v>2645893</v>
      </c>
      <c r="X15" s="2016">
        <f>+X107+X116+X158+X233</f>
        <v>44363963</v>
      </c>
      <c r="Y15" s="743"/>
      <c r="Z15" s="2007">
        <f>+Z13-Z7</f>
        <v>4445316</v>
      </c>
      <c r="AA15" s="2017" t="s">
        <v>567</v>
      </c>
    </row>
    <row r="16" spans="1:87" s="2017" customFormat="1" ht="11.25" customHeight="1">
      <c r="A16" s="753"/>
      <c r="B16" s="2018" t="s">
        <v>25</v>
      </c>
      <c r="C16" s="2019"/>
      <c r="D16" s="2015">
        <f>+D30+D96+D41+D52+D63+D234</f>
        <v>2815523</v>
      </c>
      <c r="E16" s="2015">
        <f>+E30+E96+E41+E52+E63</f>
        <v>66154</v>
      </c>
      <c r="F16" s="2020">
        <f>+F30+F96+F41</f>
        <v>0</v>
      </c>
      <c r="G16" s="2020">
        <f>+G30+G96+G41</f>
        <v>0</v>
      </c>
      <c r="H16" s="2020">
        <f>+H30+H96+H41</f>
        <v>0</v>
      </c>
      <c r="I16" s="2021">
        <f t="shared" ref="I16:N16" si="13">+I30+I96+I41+I52+I63</f>
        <v>54716</v>
      </c>
      <c r="J16" s="2021">
        <f t="shared" si="13"/>
        <v>56252</v>
      </c>
      <c r="K16" s="2021">
        <f t="shared" si="13"/>
        <v>52319</v>
      </c>
      <c r="L16" s="2021">
        <f t="shared" si="13"/>
        <v>56617</v>
      </c>
      <c r="M16" s="2015">
        <f>+M30+M96+M41+M52+M63+M234</f>
        <v>318988</v>
      </c>
      <c r="N16" s="2015">
        <f t="shared" si="13"/>
        <v>79352</v>
      </c>
      <c r="O16" s="2015">
        <f t="shared" ref="O16:W16" si="14">+O30+O96+O41+O52+O63+O234</f>
        <v>315235</v>
      </c>
      <c r="P16" s="2015">
        <f t="shared" si="14"/>
        <v>510740</v>
      </c>
      <c r="Q16" s="2015">
        <f t="shared" si="14"/>
        <v>742301</v>
      </c>
      <c r="R16" s="2015">
        <f t="shared" si="14"/>
        <v>493259</v>
      </c>
      <c r="S16" s="2015">
        <f t="shared" si="14"/>
        <v>225000</v>
      </c>
      <c r="T16" s="2015">
        <f t="shared" si="14"/>
        <v>210000</v>
      </c>
      <c r="U16" s="2015">
        <f t="shared" si="14"/>
        <v>0</v>
      </c>
      <c r="V16" s="2015">
        <f t="shared" si="14"/>
        <v>0</v>
      </c>
      <c r="W16" s="2015">
        <f t="shared" si="14"/>
        <v>0</v>
      </c>
      <c r="X16" s="2016">
        <f>SUM(P16:T16)</f>
        <v>2181300</v>
      </c>
      <c r="Y16" s="743"/>
      <c r="Z16" s="2007">
        <f>R15+R16+R17+R20-R10</f>
        <v>0</v>
      </c>
    </row>
    <row r="17" spans="1:37" s="2017" customFormat="1" ht="11.25" customHeight="1">
      <c r="A17" s="753"/>
      <c r="B17" s="2018" t="s">
        <v>28</v>
      </c>
      <c r="C17" s="2019"/>
      <c r="D17" s="2022">
        <f>+D159</f>
        <v>5000000</v>
      </c>
      <c r="E17" s="2022"/>
      <c r="F17" s="2352"/>
      <c r="G17" s="2352"/>
      <c r="H17" s="2352"/>
      <c r="I17" s="2353"/>
      <c r="J17" s="2353"/>
      <c r="K17" s="2353"/>
      <c r="L17" s="2353"/>
      <c r="M17" s="2022">
        <f>+M159</f>
        <v>0</v>
      </c>
      <c r="N17" s="2022">
        <f t="shared" ref="N17:W17" si="15">+N159</f>
        <v>0</v>
      </c>
      <c r="O17" s="2022">
        <f t="shared" si="15"/>
        <v>0</v>
      </c>
      <c r="P17" s="2022">
        <f t="shared" si="15"/>
        <v>0</v>
      </c>
      <c r="Q17" s="2022">
        <f t="shared" si="15"/>
        <v>0</v>
      </c>
      <c r="R17" s="2022">
        <f t="shared" si="15"/>
        <v>277300</v>
      </c>
      <c r="S17" s="2022">
        <f t="shared" si="15"/>
        <v>3328200</v>
      </c>
      <c r="T17" s="2022">
        <f t="shared" si="15"/>
        <v>1394500</v>
      </c>
      <c r="U17" s="2022">
        <f t="shared" si="15"/>
        <v>0</v>
      </c>
      <c r="V17" s="2022">
        <f t="shared" si="15"/>
        <v>0</v>
      </c>
      <c r="W17" s="2022">
        <f t="shared" si="15"/>
        <v>0</v>
      </c>
      <c r="X17" s="2354">
        <f t="shared" ref="X17" si="16">+X159</f>
        <v>5000000</v>
      </c>
      <c r="Y17" s="743"/>
      <c r="Z17" s="2007"/>
    </row>
    <row r="18" spans="1:37" s="2017" customFormat="1" ht="12" customHeight="1">
      <c r="A18" s="753"/>
      <c r="B18" s="2018" t="s">
        <v>45</v>
      </c>
      <c r="C18" s="2019"/>
      <c r="D18" s="2022">
        <f>D122+D140+D235</f>
        <v>4445316</v>
      </c>
      <c r="E18" s="2022">
        <f t="shared" ref="E18:X18" si="17">E122+E140</f>
        <v>0</v>
      </c>
      <c r="F18" s="2022">
        <f t="shared" si="17"/>
        <v>0</v>
      </c>
      <c r="G18" s="2022">
        <f t="shared" si="17"/>
        <v>0</v>
      </c>
      <c r="H18" s="2022">
        <f t="shared" si="17"/>
        <v>0</v>
      </c>
      <c r="I18" s="2022">
        <f t="shared" si="17"/>
        <v>0</v>
      </c>
      <c r="J18" s="2022">
        <f t="shared" si="17"/>
        <v>0</v>
      </c>
      <c r="K18" s="2022">
        <f t="shared" si="17"/>
        <v>0</v>
      </c>
      <c r="L18" s="2022">
        <f t="shared" si="17"/>
        <v>0</v>
      </c>
      <c r="M18" s="2022">
        <f>M122+M140+M235</f>
        <v>0</v>
      </c>
      <c r="N18" s="2022">
        <f t="shared" si="17"/>
        <v>0</v>
      </c>
      <c r="O18" s="2022">
        <f t="shared" ref="O18:W18" si="18">O122+O140+O235</f>
        <v>0</v>
      </c>
      <c r="P18" s="2022">
        <f t="shared" si="18"/>
        <v>730701</v>
      </c>
      <c r="Q18" s="2022">
        <f t="shared" si="18"/>
        <v>733020</v>
      </c>
      <c r="R18" s="2022">
        <f t="shared" si="18"/>
        <v>624234</v>
      </c>
      <c r="S18" s="2022">
        <f t="shared" si="18"/>
        <v>471473</v>
      </c>
      <c r="T18" s="2022">
        <f t="shared" si="18"/>
        <v>471472</v>
      </c>
      <c r="U18" s="2022">
        <f t="shared" si="18"/>
        <v>471472</v>
      </c>
      <c r="V18" s="2022">
        <f t="shared" si="18"/>
        <v>471472</v>
      </c>
      <c r="W18" s="2022">
        <f t="shared" si="18"/>
        <v>471472</v>
      </c>
      <c r="X18" s="2023">
        <f t="shared" si="17"/>
        <v>0</v>
      </c>
      <c r="Y18" s="743"/>
      <c r="Z18" s="2007"/>
    </row>
    <row r="19" spans="1:37" s="2014" customFormat="1" ht="12" customHeight="1">
      <c r="A19" s="741"/>
      <c r="B19" s="757" t="s">
        <v>30</v>
      </c>
      <c r="C19" s="758"/>
      <c r="D19" s="759">
        <f>SUM(D20)</f>
        <v>417471384</v>
      </c>
      <c r="E19" s="759" t="e">
        <f t="shared" ref="E19:O19" si="19">SUM(E20)</f>
        <v>#REF!</v>
      </c>
      <c r="F19" s="2024" t="e">
        <f t="shared" si="19"/>
        <v>#REF!</v>
      </c>
      <c r="G19" s="2024" t="e">
        <f t="shared" si="19"/>
        <v>#REF!</v>
      </c>
      <c r="H19" s="2024" t="e">
        <f t="shared" si="19"/>
        <v>#REF!</v>
      </c>
      <c r="I19" s="2025" t="e">
        <f t="shared" si="19"/>
        <v>#REF!</v>
      </c>
      <c r="J19" s="2025" t="e">
        <f t="shared" si="19"/>
        <v>#REF!</v>
      </c>
      <c r="K19" s="2025" t="e">
        <f t="shared" si="19"/>
        <v>#REF!</v>
      </c>
      <c r="L19" s="2025" t="e">
        <f t="shared" si="19"/>
        <v>#REF!</v>
      </c>
      <c r="M19" s="759">
        <f t="shared" si="19"/>
        <v>120717470</v>
      </c>
      <c r="N19" s="759">
        <f t="shared" si="19"/>
        <v>25489731</v>
      </c>
      <c r="O19" s="759">
        <f t="shared" si="19"/>
        <v>30082067</v>
      </c>
      <c r="P19" s="759">
        <f>SUM(P20)</f>
        <v>27943245</v>
      </c>
      <c r="Q19" s="759">
        <f>SUM(Q20)</f>
        <v>37802772</v>
      </c>
      <c r="R19" s="759">
        <f>SUM(R20)</f>
        <v>44137611</v>
      </c>
      <c r="S19" s="759">
        <f t="shared" ref="S19:W19" si="20">SUM(S20)</f>
        <v>52627819</v>
      </c>
      <c r="T19" s="759">
        <f t="shared" si="20"/>
        <v>36070253</v>
      </c>
      <c r="U19" s="759">
        <f t="shared" si="20"/>
        <v>22416835</v>
      </c>
      <c r="V19" s="759">
        <f t="shared" si="20"/>
        <v>22694866</v>
      </c>
      <c r="W19" s="759">
        <f t="shared" si="20"/>
        <v>22978446</v>
      </c>
      <c r="X19" s="2011">
        <f>SUM(X20)</f>
        <v>266671847</v>
      </c>
      <c r="Y19" s="2012"/>
      <c r="Z19" s="2013"/>
      <c r="AA19" s="2013"/>
      <c r="AB19" s="2013"/>
      <c r="AC19" s="2013"/>
      <c r="AD19" s="2013"/>
      <c r="AE19" s="2013"/>
      <c r="AF19" s="2013"/>
      <c r="AG19" s="2013"/>
      <c r="AH19" s="2013"/>
      <c r="AI19" s="2013"/>
      <c r="AJ19" s="2013"/>
      <c r="AK19" s="2013"/>
    </row>
    <row r="20" spans="1:37" s="2030" customFormat="1" ht="12" customHeight="1">
      <c r="A20" s="760"/>
      <c r="B20" s="2026" t="s">
        <v>33</v>
      </c>
      <c r="C20" s="2027"/>
      <c r="D20" s="2015">
        <f>+D32+D74+D98+D109+D86+D43+D54+D65+D126+D144+D161+D237</f>
        <v>417471384</v>
      </c>
      <c r="E20" s="2015" t="e">
        <f>+E32+E74+E98+E109+E86+E43+E54+E65+E126+E144+#REF!</f>
        <v>#REF!</v>
      </c>
      <c r="F20" s="2015" t="e">
        <f>+F32+F74+F98+F109+F86+F43+F54+F65+F126+F144+#REF!</f>
        <v>#REF!</v>
      </c>
      <c r="G20" s="2015" t="e">
        <f>+G32+G74+G98+G109+G86+G43+G54+G65+G126+G144+#REF!</f>
        <v>#REF!</v>
      </c>
      <c r="H20" s="2015" t="e">
        <f>+H32+H74+H98+H109+H86+H43+H54+H65+H126+H144+#REF!</f>
        <v>#REF!</v>
      </c>
      <c r="I20" s="2015" t="e">
        <f>+I32+I74+I98+I109+I86+I43+I54+I65+I126+I144+#REF!</f>
        <v>#REF!</v>
      </c>
      <c r="J20" s="2015" t="e">
        <f>+J32+J74+J98+J109+J86+J43+J54+J65+J126+J144+#REF!</f>
        <v>#REF!</v>
      </c>
      <c r="K20" s="2015" t="e">
        <f>+K32+K74+K98+K109+K86+K43+K54+K65+K126+K144+#REF!</f>
        <v>#REF!</v>
      </c>
      <c r="L20" s="2015" t="e">
        <f>+L32+L74+L98+L109+L86+L43+L54+L65+L126+L144+#REF!</f>
        <v>#REF!</v>
      </c>
      <c r="M20" s="2015">
        <f>+M32+M74+M98+M109+M86+M43+M54+M65+M126+M144+M161+M237</f>
        <v>120717470</v>
      </c>
      <c r="N20" s="2015">
        <f t="shared" ref="N20" si="21">+N32+N74+N98+N109+N86+N43+N54+N65+N126+N144+N161</f>
        <v>25489731</v>
      </c>
      <c r="O20" s="2015">
        <f t="shared" ref="O20:X20" si="22">+O32+O74+O98+O109+O86+O43+O54+O65+O126+O144+O161+O237</f>
        <v>30082067</v>
      </c>
      <c r="P20" s="2015">
        <f t="shared" si="22"/>
        <v>27943245</v>
      </c>
      <c r="Q20" s="2015">
        <f t="shared" si="22"/>
        <v>37802772</v>
      </c>
      <c r="R20" s="2015">
        <f t="shared" si="22"/>
        <v>44137611</v>
      </c>
      <c r="S20" s="2015">
        <f t="shared" si="22"/>
        <v>52627819</v>
      </c>
      <c r="T20" s="2015">
        <f t="shared" si="22"/>
        <v>36070253</v>
      </c>
      <c r="U20" s="2015">
        <f t="shared" si="22"/>
        <v>22416835</v>
      </c>
      <c r="V20" s="2015">
        <f t="shared" si="22"/>
        <v>22694866</v>
      </c>
      <c r="W20" s="2015">
        <f t="shared" si="22"/>
        <v>22978446</v>
      </c>
      <c r="X20" s="2015">
        <f t="shared" si="22"/>
        <v>266671847</v>
      </c>
      <c r="Y20" s="2028"/>
      <c r="Z20" s="2007">
        <f>D15+D16+D17+D20-D10</f>
        <v>0</v>
      </c>
      <c r="AA20" s="2029"/>
      <c r="AB20" s="2029"/>
      <c r="AC20" s="2029"/>
      <c r="AD20" s="2029"/>
      <c r="AE20" s="2029"/>
      <c r="AF20" s="2029"/>
      <c r="AG20" s="2029"/>
      <c r="AH20" s="2029"/>
      <c r="AI20" s="2029"/>
      <c r="AJ20" s="2029"/>
      <c r="AK20" s="2029"/>
    </row>
    <row r="21" spans="1:37" s="2030" customFormat="1" ht="12.75" customHeight="1">
      <c r="A21" s="760"/>
      <c r="B21" s="512" t="s">
        <v>34</v>
      </c>
      <c r="C21" s="3109"/>
      <c r="D21" s="3110">
        <f>+D22+D25</f>
        <v>425286907</v>
      </c>
      <c r="E21" s="3110" t="e">
        <f t="shared" ref="E21:W21" si="23">+E22+E25</f>
        <v>#REF!</v>
      </c>
      <c r="F21" s="3110" t="e">
        <f t="shared" si="23"/>
        <v>#REF!</v>
      </c>
      <c r="G21" s="3110" t="e">
        <f t="shared" si="23"/>
        <v>#REF!</v>
      </c>
      <c r="H21" s="3110" t="e">
        <f t="shared" si="23"/>
        <v>#REF!</v>
      </c>
      <c r="I21" s="3110" t="e">
        <f t="shared" si="23"/>
        <v>#REF!</v>
      </c>
      <c r="J21" s="3110" t="e">
        <f t="shared" si="23"/>
        <v>#REF!</v>
      </c>
      <c r="K21" s="3110" t="e">
        <f t="shared" si="23"/>
        <v>#REF!</v>
      </c>
      <c r="L21" s="3110" t="e">
        <f t="shared" si="23"/>
        <v>#REF!</v>
      </c>
      <c r="M21" s="3110">
        <f t="shared" si="23"/>
        <v>117216874</v>
      </c>
      <c r="N21" s="3110">
        <f t="shared" si="23"/>
        <v>22260358</v>
      </c>
      <c r="O21" s="3110">
        <f t="shared" si="23"/>
        <v>28951735</v>
      </c>
      <c r="P21" s="3110">
        <f t="shared" si="23"/>
        <v>31009256</v>
      </c>
      <c r="Q21" s="3110">
        <f t="shared" si="23"/>
        <v>40619757</v>
      </c>
      <c r="R21" s="3110">
        <f t="shared" si="23"/>
        <v>45575358</v>
      </c>
      <c r="S21" s="3110">
        <f t="shared" si="23"/>
        <v>56535116</v>
      </c>
      <c r="T21" s="3110">
        <f t="shared" si="23"/>
        <v>37288664</v>
      </c>
      <c r="U21" s="3110">
        <f t="shared" si="23"/>
        <v>22416835</v>
      </c>
      <c r="V21" s="3110">
        <f t="shared" si="23"/>
        <v>22694866</v>
      </c>
      <c r="W21" s="3110">
        <f t="shared" si="23"/>
        <v>22978446</v>
      </c>
      <c r="X21" s="4444" t="s">
        <v>77</v>
      </c>
      <c r="Y21" s="743"/>
      <c r="Z21" s="2029"/>
      <c r="AA21" s="2029"/>
      <c r="AB21" s="2029"/>
      <c r="AC21" s="2029"/>
      <c r="AD21" s="2029"/>
      <c r="AE21" s="2029"/>
      <c r="AF21" s="2029"/>
      <c r="AG21" s="2029"/>
      <c r="AH21" s="2029"/>
      <c r="AI21" s="2029"/>
      <c r="AJ21" s="2029"/>
      <c r="AK21" s="2029"/>
    </row>
    <row r="22" spans="1:37" s="2014" customFormat="1" ht="12" customHeight="1">
      <c r="A22" s="741"/>
      <c r="B22" s="749" t="s">
        <v>23</v>
      </c>
      <c r="C22" s="750"/>
      <c r="D22" s="2010">
        <f>+D23+D24</f>
        <v>7815523</v>
      </c>
      <c r="E22" s="2010">
        <f t="shared" ref="E22:L22" si="24">+E23</f>
        <v>3874</v>
      </c>
      <c r="F22" s="2031">
        <f t="shared" si="24"/>
        <v>0</v>
      </c>
      <c r="G22" s="2031">
        <f t="shared" si="24"/>
        <v>0</v>
      </c>
      <c r="H22" s="2031">
        <f t="shared" si="24"/>
        <v>0</v>
      </c>
      <c r="I22" s="2032">
        <f t="shared" si="24"/>
        <v>72234</v>
      </c>
      <c r="J22" s="2032">
        <f t="shared" si="24"/>
        <v>73370</v>
      </c>
      <c r="K22" s="2032">
        <f t="shared" si="24"/>
        <v>52704</v>
      </c>
      <c r="L22" s="2032">
        <f t="shared" si="24"/>
        <v>44329</v>
      </c>
      <c r="M22" s="2010">
        <f t="shared" ref="M22:W22" si="25">+M23+M24</f>
        <v>303135</v>
      </c>
      <c r="N22" s="2010">
        <f t="shared" si="25"/>
        <v>103046</v>
      </c>
      <c r="O22" s="2010">
        <f t="shared" si="25"/>
        <v>316674</v>
      </c>
      <c r="P22" s="2010">
        <f t="shared" si="25"/>
        <v>525154</v>
      </c>
      <c r="Q22" s="2010">
        <f t="shared" si="25"/>
        <v>742301</v>
      </c>
      <c r="R22" s="2010">
        <f t="shared" si="25"/>
        <v>770559</v>
      </c>
      <c r="S22" s="2010">
        <f t="shared" si="25"/>
        <v>3553200</v>
      </c>
      <c r="T22" s="2010">
        <f t="shared" si="25"/>
        <v>1604500</v>
      </c>
      <c r="U22" s="2010">
        <f t="shared" si="25"/>
        <v>0</v>
      </c>
      <c r="V22" s="2010">
        <f t="shared" si="25"/>
        <v>0</v>
      </c>
      <c r="W22" s="2010">
        <f t="shared" si="25"/>
        <v>0</v>
      </c>
      <c r="X22" s="4388"/>
      <c r="Y22" s="2012"/>
      <c r="Z22" s="2033"/>
      <c r="AA22" s="2013"/>
      <c r="AB22" s="2013"/>
      <c r="AC22" s="2013"/>
      <c r="AD22" s="2013"/>
      <c r="AE22" s="2013"/>
      <c r="AF22" s="2013"/>
      <c r="AG22" s="2013"/>
      <c r="AH22" s="2013"/>
      <c r="AI22" s="2013"/>
      <c r="AJ22" s="2013"/>
      <c r="AK22" s="2013"/>
    </row>
    <row r="23" spans="1:37" s="2030" customFormat="1" ht="12" customHeight="1">
      <c r="A23" s="760"/>
      <c r="B23" s="2018" t="s">
        <v>25</v>
      </c>
      <c r="C23" s="2034"/>
      <c r="D23" s="2015">
        <f>+D35+D101+D46+D57+D63+D240</f>
        <v>2815523</v>
      </c>
      <c r="E23" s="2015">
        <f>+E35+E101+E46+E57+E63</f>
        <v>3874</v>
      </c>
      <c r="F23" s="2020">
        <f>+F35+F101+F46</f>
        <v>0</v>
      </c>
      <c r="G23" s="2020">
        <f>+G35+G101+G46</f>
        <v>0</v>
      </c>
      <c r="H23" s="2020">
        <f>+H35+H101+H46</f>
        <v>0</v>
      </c>
      <c r="I23" s="2021">
        <f t="shared" ref="I23:N23" si="26">+I35+I101+I46+I57+I63</f>
        <v>72234</v>
      </c>
      <c r="J23" s="2021">
        <f t="shared" si="26"/>
        <v>73370</v>
      </c>
      <c r="K23" s="2021">
        <f t="shared" si="26"/>
        <v>52704</v>
      </c>
      <c r="L23" s="2021">
        <f t="shared" si="26"/>
        <v>44329</v>
      </c>
      <c r="M23" s="2015">
        <f>+M35+M101+M46+M57+M63+M240</f>
        <v>303135</v>
      </c>
      <c r="N23" s="2015">
        <f t="shared" si="26"/>
        <v>103046</v>
      </c>
      <c r="O23" s="2015">
        <f t="shared" ref="O23:W23" si="27">+O35+O101+O46+O57+O63+O240</f>
        <v>316674</v>
      </c>
      <c r="P23" s="2015">
        <f t="shared" si="27"/>
        <v>525154</v>
      </c>
      <c r="Q23" s="2015">
        <f t="shared" si="27"/>
        <v>742301</v>
      </c>
      <c r="R23" s="2015">
        <f t="shared" si="27"/>
        <v>493259</v>
      </c>
      <c r="S23" s="2015">
        <f t="shared" si="27"/>
        <v>225000</v>
      </c>
      <c r="T23" s="2015">
        <f t="shared" si="27"/>
        <v>210000</v>
      </c>
      <c r="U23" s="2015">
        <f t="shared" si="27"/>
        <v>0</v>
      </c>
      <c r="V23" s="2015">
        <f t="shared" si="27"/>
        <v>0</v>
      </c>
      <c r="W23" s="2015">
        <f t="shared" si="27"/>
        <v>0</v>
      </c>
      <c r="X23" s="4388"/>
      <c r="Y23" s="2028"/>
      <c r="Z23" s="2029"/>
      <c r="AA23" s="2029"/>
      <c r="AB23" s="2029"/>
      <c r="AC23" s="2029"/>
      <c r="AD23" s="2029"/>
      <c r="AE23" s="2029"/>
      <c r="AF23" s="2029"/>
      <c r="AG23" s="2029"/>
      <c r="AH23" s="2029"/>
      <c r="AI23" s="2029"/>
      <c r="AJ23" s="2029"/>
      <c r="AK23" s="2029"/>
    </row>
    <row r="24" spans="1:37" s="2030" customFormat="1" ht="12" customHeight="1">
      <c r="A24" s="760"/>
      <c r="B24" s="2018" t="s">
        <v>28</v>
      </c>
      <c r="C24" s="2034"/>
      <c r="D24" s="2022">
        <f>+D167</f>
        <v>5000000</v>
      </c>
      <c r="E24" s="2022"/>
      <c r="F24" s="2352"/>
      <c r="G24" s="2352"/>
      <c r="H24" s="2352"/>
      <c r="I24" s="2353"/>
      <c r="J24" s="2353"/>
      <c r="K24" s="2353"/>
      <c r="L24" s="2353"/>
      <c r="M24" s="2022">
        <f>+M167</f>
        <v>0</v>
      </c>
      <c r="N24" s="2022"/>
      <c r="O24" s="2022">
        <f t="shared" ref="O24:W24" si="28">+O167</f>
        <v>0</v>
      </c>
      <c r="P24" s="2022">
        <f t="shared" si="28"/>
        <v>0</v>
      </c>
      <c r="Q24" s="2022">
        <f t="shared" si="28"/>
        <v>0</v>
      </c>
      <c r="R24" s="2022">
        <f t="shared" si="28"/>
        <v>277300</v>
      </c>
      <c r="S24" s="2022">
        <f t="shared" si="28"/>
        <v>3328200</v>
      </c>
      <c r="T24" s="2022">
        <f t="shared" si="28"/>
        <v>1394500</v>
      </c>
      <c r="U24" s="2022">
        <f t="shared" si="28"/>
        <v>0</v>
      </c>
      <c r="V24" s="2022">
        <f t="shared" si="28"/>
        <v>0</v>
      </c>
      <c r="W24" s="2022">
        <f t="shared" si="28"/>
        <v>0</v>
      </c>
      <c r="X24" s="4388"/>
      <c r="Y24" s="2028"/>
      <c r="Z24" s="2029"/>
      <c r="AA24" s="2029"/>
      <c r="AB24" s="2029"/>
      <c r="AC24" s="2029"/>
      <c r="AD24" s="2029"/>
      <c r="AE24" s="2029"/>
      <c r="AF24" s="2029"/>
      <c r="AG24" s="2029"/>
      <c r="AH24" s="2029"/>
      <c r="AI24" s="2029"/>
      <c r="AJ24" s="2029"/>
      <c r="AK24" s="2029"/>
    </row>
    <row r="25" spans="1:37" s="2014" customFormat="1" ht="12" customHeight="1">
      <c r="A25" s="741"/>
      <c r="B25" s="757" t="s">
        <v>30</v>
      </c>
      <c r="C25" s="758"/>
      <c r="D25" s="759">
        <f>+D26</f>
        <v>417471384</v>
      </c>
      <c r="E25" s="759" t="e">
        <f t="shared" ref="E25:O25" si="29">+E26</f>
        <v>#REF!</v>
      </c>
      <c r="F25" s="2024" t="e">
        <f t="shared" si="29"/>
        <v>#REF!</v>
      </c>
      <c r="G25" s="2024" t="e">
        <f t="shared" si="29"/>
        <v>#REF!</v>
      </c>
      <c r="H25" s="2024" t="e">
        <f t="shared" si="29"/>
        <v>#REF!</v>
      </c>
      <c r="I25" s="2025" t="e">
        <f t="shared" si="29"/>
        <v>#REF!</v>
      </c>
      <c r="J25" s="2025" t="e">
        <f t="shared" si="29"/>
        <v>#REF!</v>
      </c>
      <c r="K25" s="2025" t="e">
        <f t="shared" si="29"/>
        <v>#REF!</v>
      </c>
      <c r="L25" s="2025" t="e">
        <f t="shared" si="29"/>
        <v>#REF!</v>
      </c>
      <c r="M25" s="759">
        <f t="shared" si="29"/>
        <v>116913739</v>
      </c>
      <c r="N25" s="759">
        <f t="shared" si="29"/>
        <v>22157312</v>
      </c>
      <c r="O25" s="759">
        <f t="shared" si="29"/>
        <v>28635061</v>
      </c>
      <c r="P25" s="759">
        <f>+P26</f>
        <v>30484102</v>
      </c>
      <c r="Q25" s="759">
        <f>+Q26</f>
        <v>39877456</v>
      </c>
      <c r="R25" s="759">
        <f>+R26</f>
        <v>44804799</v>
      </c>
      <c r="S25" s="759">
        <f t="shared" ref="S25:W25" si="30">+S26</f>
        <v>52981916</v>
      </c>
      <c r="T25" s="759">
        <f t="shared" si="30"/>
        <v>35684164</v>
      </c>
      <c r="U25" s="759">
        <f t="shared" si="30"/>
        <v>22416835</v>
      </c>
      <c r="V25" s="759">
        <f t="shared" si="30"/>
        <v>22694866</v>
      </c>
      <c r="W25" s="759">
        <f t="shared" si="30"/>
        <v>22978446</v>
      </c>
      <c r="X25" s="4388"/>
      <c r="Y25" s="2012"/>
      <c r="Z25" s="2013"/>
      <c r="AA25" s="2013"/>
      <c r="AB25" s="2013"/>
      <c r="AC25" s="2013"/>
      <c r="AD25" s="2013"/>
      <c r="AE25" s="2013"/>
      <c r="AF25" s="2013"/>
      <c r="AG25" s="2013"/>
      <c r="AH25" s="2013"/>
      <c r="AI25" s="2013"/>
      <c r="AJ25" s="2013"/>
      <c r="AK25" s="2013"/>
    </row>
    <row r="26" spans="1:37" s="2030" customFormat="1" ht="12" customHeight="1" thickBot="1">
      <c r="A26" s="767"/>
      <c r="B26" s="2035" t="s">
        <v>33</v>
      </c>
      <c r="C26" s="768"/>
      <c r="D26" s="769">
        <f>+D37+D82+D103+D112+D92+D48+D59+D70+D136+D154+D169+D242</f>
        <v>417471384</v>
      </c>
      <c r="E26" s="769" t="e">
        <f>+E37+E82+E103+E112+E92+E48+E59+E70+E136+E154+#REF!</f>
        <v>#REF!</v>
      </c>
      <c r="F26" s="769" t="e">
        <f>+F37+F82+F103+F112+F92+F48+F59+F70+F136+F154+#REF!</f>
        <v>#REF!</v>
      </c>
      <c r="G26" s="769" t="e">
        <f>+G37+G82+G103+G112+G92+G48+G59+G70+G136+G154+#REF!</f>
        <v>#REF!</v>
      </c>
      <c r="H26" s="769" t="e">
        <f>+H37+H82+H103+H112+H92+H48+H59+H70+H136+H154+#REF!</f>
        <v>#REF!</v>
      </c>
      <c r="I26" s="769" t="e">
        <f>+I37+I82+I103+I112+I92+I48+I59+I70+I136+I154+#REF!</f>
        <v>#REF!</v>
      </c>
      <c r="J26" s="769" t="e">
        <f>+J37+J82+J103+J112+J92+J48+J59+J70+J136+J154+#REF!</f>
        <v>#REF!</v>
      </c>
      <c r="K26" s="769" t="e">
        <f>+K37+K82+K103+K112+K92+K48+K59+K70+K136+K154+#REF!</f>
        <v>#REF!</v>
      </c>
      <c r="L26" s="769" t="e">
        <f>+L37+L82+L103+L112+L92+L48+L59+L70+L136+L154+#REF!</f>
        <v>#REF!</v>
      </c>
      <c r="M26" s="769">
        <f>+M37+M82+M103+M112+M92+M48+M59+M70+M136+M154+M169+M242</f>
        <v>116913739</v>
      </c>
      <c r="N26" s="769">
        <f t="shared" ref="N26" si="31">+N37+N82+N103+N112+N92+N48+N59+N70+N136+N154+N169</f>
        <v>22157312</v>
      </c>
      <c r="O26" s="769">
        <f t="shared" ref="O26:W26" si="32">+O37+O82+O103+O112+O92+O48+O59+O70+O136+O154+O169+O242</f>
        <v>28635061</v>
      </c>
      <c r="P26" s="769">
        <f t="shared" si="32"/>
        <v>30484102</v>
      </c>
      <c r="Q26" s="769">
        <f t="shared" si="32"/>
        <v>39877456</v>
      </c>
      <c r="R26" s="769">
        <f t="shared" si="32"/>
        <v>44804799</v>
      </c>
      <c r="S26" s="769">
        <f t="shared" si="32"/>
        <v>52981916</v>
      </c>
      <c r="T26" s="769">
        <f t="shared" si="32"/>
        <v>35684164</v>
      </c>
      <c r="U26" s="769">
        <f t="shared" si="32"/>
        <v>22416835</v>
      </c>
      <c r="V26" s="769">
        <f t="shared" si="32"/>
        <v>22694866</v>
      </c>
      <c r="W26" s="769">
        <f t="shared" si="32"/>
        <v>22978446</v>
      </c>
      <c r="X26" s="4389"/>
      <c r="Y26" s="2036"/>
      <c r="Z26" s="2037">
        <f>D20-D26</f>
        <v>0</v>
      </c>
      <c r="AA26" s="2029"/>
      <c r="AB26" s="2029"/>
      <c r="AC26" s="2029"/>
      <c r="AD26" s="2029"/>
      <c r="AE26" s="2029"/>
      <c r="AF26" s="2029"/>
      <c r="AG26" s="2029"/>
      <c r="AH26" s="2029"/>
      <c r="AI26" s="2029"/>
      <c r="AJ26" s="2029"/>
      <c r="AK26" s="2029"/>
    </row>
    <row r="27" spans="1:37" s="2029" customFormat="1" ht="34.5" hidden="1" customHeight="1">
      <c r="A27" s="4349"/>
      <c r="B27" s="771" t="s">
        <v>394</v>
      </c>
      <c r="C27" s="772" t="s">
        <v>131</v>
      </c>
      <c r="D27" s="837"/>
      <c r="E27" s="2330"/>
      <c r="F27" s="2331"/>
      <c r="G27" s="2331"/>
      <c r="H27" s="2332"/>
      <c r="I27" s="2333"/>
      <c r="J27" s="2333"/>
      <c r="K27" s="2334"/>
      <c r="L27" s="2334"/>
      <c r="M27" s="835"/>
      <c r="N27" s="835"/>
      <c r="O27" s="835"/>
      <c r="P27" s="835"/>
      <c r="Q27" s="835"/>
      <c r="R27" s="835"/>
      <c r="S27" s="835"/>
      <c r="T27" s="835"/>
      <c r="U27" s="835"/>
      <c r="V27" s="835"/>
      <c r="W27" s="1246"/>
      <c r="X27" s="2038"/>
      <c r="Y27" s="4413" t="s">
        <v>213</v>
      </c>
    </row>
    <row r="28" spans="1:37" s="2029" customFormat="1" ht="11.25" hidden="1" customHeight="1">
      <c r="A28" s="4350"/>
      <c r="B28" s="381" t="s">
        <v>22</v>
      </c>
      <c r="C28" s="798"/>
      <c r="D28" s="2039"/>
      <c r="E28" s="2039"/>
      <c r="F28" s="2040"/>
      <c r="G28" s="2040"/>
      <c r="H28" s="2040"/>
      <c r="I28" s="2041"/>
      <c r="J28" s="2041"/>
      <c r="K28" s="2041"/>
      <c r="L28" s="2041"/>
      <c r="M28" s="2039"/>
      <c r="N28" s="2039">
        <f t="shared" ref="N28:P28" si="33">+N29+N31</f>
        <v>309477</v>
      </c>
      <c r="O28" s="2039">
        <f t="shared" si="33"/>
        <v>0</v>
      </c>
      <c r="P28" s="2039">
        <f t="shared" si="33"/>
        <v>0</v>
      </c>
      <c r="Q28" s="2039">
        <f t="shared" ref="Q28:T28" si="34">+Q29+Q31</f>
        <v>0</v>
      </c>
      <c r="R28" s="2039">
        <f t="shared" si="34"/>
        <v>0</v>
      </c>
      <c r="S28" s="2039">
        <f t="shared" si="34"/>
        <v>0</v>
      </c>
      <c r="T28" s="2039">
        <f t="shared" si="34"/>
        <v>0</v>
      </c>
      <c r="U28" s="2039"/>
      <c r="V28" s="2039"/>
      <c r="W28" s="2039"/>
      <c r="X28" s="2042">
        <f>X29+X31</f>
        <v>0</v>
      </c>
      <c r="Y28" s="4414"/>
      <c r="Z28" s="2004"/>
    </row>
    <row r="29" spans="1:37" s="2048" customFormat="1" ht="12" hidden="1" customHeight="1">
      <c r="A29" s="4350"/>
      <c r="B29" s="779" t="s">
        <v>36</v>
      </c>
      <c r="C29" s="4416" t="s">
        <v>214</v>
      </c>
      <c r="D29" s="2043"/>
      <c r="E29" s="2043"/>
      <c r="F29" s="2044"/>
      <c r="G29" s="2044"/>
      <c r="H29" s="2044"/>
      <c r="I29" s="2045"/>
      <c r="J29" s="2045"/>
      <c r="K29" s="2045"/>
      <c r="L29" s="2045"/>
      <c r="M29" s="2043"/>
      <c r="N29" s="2043">
        <f t="shared" ref="N29:T29" si="35">+N30</f>
        <v>46422</v>
      </c>
      <c r="O29" s="2043">
        <f t="shared" si="35"/>
        <v>0</v>
      </c>
      <c r="P29" s="2043">
        <f t="shared" si="35"/>
        <v>0</v>
      </c>
      <c r="Q29" s="2043">
        <f t="shared" si="35"/>
        <v>0</v>
      </c>
      <c r="R29" s="2043">
        <f t="shared" si="35"/>
        <v>0</v>
      </c>
      <c r="S29" s="2043">
        <f t="shared" si="35"/>
        <v>0</v>
      </c>
      <c r="T29" s="2043">
        <f t="shared" si="35"/>
        <v>0</v>
      </c>
      <c r="U29" s="2043"/>
      <c r="V29" s="2043"/>
      <c r="W29" s="2043"/>
      <c r="X29" s="2046">
        <f>+X30</f>
        <v>0</v>
      </c>
      <c r="Y29" s="4414"/>
      <c r="Z29" s="2047"/>
    </row>
    <row r="30" spans="1:37" s="2029" customFormat="1" ht="12" hidden="1" customHeight="1">
      <c r="A30" s="4350"/>
      <c r="B30" s="782" t="s">
        <v>25</v>
      </c>
      <c r="C30" s="4375"/>
      <c r="D30" s="2049"/>
      <c r="E30" s="2049"/>
      <c r="F30" s="2050"/>
      <c r="G30" s="2050"/>
      <c r="H30" s="2050"/>
      <c r="I30" s="2051"/>
      <c r="J30" s="2051"/>
      <c r="K30" s="2051"/>
      <c r="L30" s="2051"/>
      <c r="M30" s="2049"/>
      <c r="N30" s="2049">
        <f>163136-116714</f>
        <v>46422</v>
      </c>
      <c r="O30" s="2049">
        <f>86723-86723</f>
        <v>0</v>
      </c>
      <c r="P30" s="784">
        <v>0</v>
      </c>
      <c r="Q30" s="784">
        <v>0</v>
      </c>
      <c r="R30" s="784">
        <v>0</v>
      </c>
      <c r="S30" s="784">
        <v>0</v>
      </c>
      <c r="T30" s="784">
        <v>0</v>
      </c>
      <c r="U30" s="784"/>
      <c r="V30" s="784"/>
      <c r="W30" s="784"/>
      <c r="X30" s="2016">
        <f>SUM(P30:T30)</f>
        <v>0</v>
      </c>
      <c r="Y30" s="4414"/>
      <c r="Z30" s="2037"/>
      <c r="AA30" s="2037"/>
    </row>
    <row r="31" spans="1:37" s="2029" customFormat="1" ht="12" hidden="1" customHeight="1">
      <c r="A31" s="4350"/>
      <c r="B31" s="525" t="s">
        <v>30</v>
      </c>
      <c r="C31" s="4375"/>
      <c r="D31" s="2052"/>
      <c r="E31" s="2052"/>
      <c r="F31" s="2044"/>
      <c r="G31" s="2044"/>
      <c r="H31" s="2044"/>
      <c r="I31" s="2045"/>
      <c r="J31" s="2045"/>
      <c r="K31" s="2045"/>
      <c r="L31" s="2045"/>
      <c r="M31" s="2052"/>
      <c r="N31" s="2052">
        <f t="shared" ref="N31:T31" si="36">N32</f>
        <v>263055</v>
      </c>
      <c r="O31" s="2052">
        <f t="shared" si="36"/>
        <v>0</v>
      </c>
      <c r="P31" s="2052">
        <f t="shared" si="36"/>
        <v>0</v>
      </c>
      <c r="Q31" s="2052">
        <f t="shared" si="36"/>
        <v>0</v>
      </c>
      <c r="R31" s="2052">
        <f t="shared" si="36"/>
        <v>0</v>
      </c>
      <c r="S31" s="2052">
        <f t="shared" si="36"/>
        <v>0</v>
      </c>
      <c r="T31" s="2052">
        <f t="shared" si="36"/>
        <v>0</v>
      </c>
      <c r="U31" s="2052"/>
      <c r="V31" s="2052"/>
      <c r="W31" s="2052"/>
      <c r="X31" s="2046">
        <f>+X32</f>
        <v>0</v>
      </c>
      <c r="Y31" s="4414"/>
      <c r="Z31" s="2037"/>
      <c r="AA31" s="2037"/>
    </row>
    <row r="32" spans="1:37" s="1942" customFormat="1" hidden="1">
      <c r="A32" s="4350"/>
      <c r="B32" s="2053" t="s">
        <v>33</v>
      </c>
      <c r="C32" s="4352"/>
      <c r="D32" s="2049"/>
      <c r="E32" s="2054"/>
      <c r="F32" s="2055"/>
      <c r="G32" s="2055"/>
      <c r="H32" s="2055"/>
      <c r="I32" s="2056"/>
      <c r="J32" s="2056"/>
      <c r="K32" s="2056"/>
      <c r="L32" s="2056"/>
      <c r="M32" s="2049"/>
      <c r="N32" s="2054">
        <f>924435-661380</f>
        <v>263055</v>
      </c>
      <c r="O32" s="2054">
        <f>491426-491426</f>
        <v>0</v>
      </c>
      <c r="P32" s="650">
        <v>0</v>
      </c>
      <c r="Q32" s="650">
        <v>0</v>
      </c>
      <c r="R32" s="650">
        <v>0</v>
      </c>
      <c r="S32" s="650">
        <v>0</v>
      </c>
      <c r="T32" s="650">
        <v>0</v>
      </c>
      <c r="U32" s="650"/>
      <c r="V32" s="650"/>
      <c r="W32" s="650"/>
      <c r="X32" s="2016">
        <f>SUM(P32:T32)</f>
        <v>0</v>
      </c>
      <c r="Y32" s="4414"/>
      <c r="Z32" s="2004"/>
    </row>
    <row r="33" spans="1:26" s="1942" customFormat="1" ht="12" hidden="1" customHeight="1">
      <c r="A33" s="4117"/>
      <c r="B33" s="381" t="s">
        <v>34</v>
      </c>
      <c r="C33" s="789"/>
      <c r="D33" s="2039"/>
      <c r="E33" s="2039"/>
      <c r="F33" s="2040"/>
      <c r="G33" s="2040"/>
      <c r="H33" s="2040"/>
      <c r="I33" s="2041"/>
      <c r="J33" s="2041"/>
      <c r="K33" s="2041"/>
      <c r="L33" s="2041"/>
      <c r="M33" s="2039"/>
      <c r="N33" s="2039">
        <f t="shared" ref="N33:P33" si="37">N34+N36</f>
        <v>309477</v>
      </c>
      <c r="O33" s="2039">
        <f t="shared" si="37"/>
        <v>0</v>
      </c>
      <c r="P33" s="2039">
        <f t="shared" si="37"/>
        <v>0</v>
      </c>
      <c r="Q33" s="2039">
        <f t="shared" ref="Q33:T33" si="38">Q34+Q36</f>
        <v>0</v>
      </c>
      <c r="R33" s="2039">
        <f t="shared" si="38"/>
        <v>0</v>
      </c>
      <c r="S33" s="2039">
        <f t="shared" si="38"/>
        <v>0</v>
      </c>
      <c r="T33" s="2039">
        <f t="shared" si="38"/>
        <v>0</v>
      </c>
      <c r="U33" s="2039"/>
      <c r="V33" s="2039"/>
      <c r="W33" s="2039"/>
      <c r="X33" s="4419" t="s">
        <v>77</v>
      </c>
      <c r="Y33" s="4414"/>
      <c r="Z33" s="2004"/>
    </row>
    <row r="34" spans="1:26" s="2048" customFormat="1" ht="11.25" hidden="1" customHeight="1">
      <c r="A34" s="4117"/>
      <c r="B34" s="791" t="s">
        <v>36</v>
      </c>
      <c r="C34" s="4416" t="s">
        <v>214</v>
      </c>
      <c r="D34" s="2043"/>
      <c r="E34" s="2043"/>
      <c r="F34" s="2044"/>
      <c r="G34" s="2044"/>
      <c r="H34" s="2044"/>
      <c r="I34" s="2045"/>
      <c r="J34" s="2045"/>
      <c r="K34" s="2045"/>
      <c r="L34" s="2045"/>
      <c r="M34" s="2043"/>
      <c r="N34" s="2043">
        <f t="shared" ref="N34:T34" si="39">N35</f>
        <v>46422</v>
      </c>
      <c r="O34" s="2043">
        <f t="shared" si="39"/>
        <v>0</v>
      </c>
      <c r="P34" s="2043">
        <f t="shared" si="39"/>
        <v>0</v>
      </c>
      <c r="Q34" s="2043">
        <f t="shared" si="39"/>
        <v>0</v>
      </c>
      <c r="R34" s="2043">
        <f t="shared" si="39"/>
        <v>0</v>
      </c>
      <c r="S34" s="2043">
        <f t="shared" si="39"/>
        <v>0</v>
      </c>
      <c r="T34" s="2043">
        <f t="shared" si="39"/>
        <v>0</v>
      </c>
      <c r="U34" s="2043"/>
      <c r="V34" s="2043"/>
      <c r="W34" s="2043"/>
      <c r="X34" s="4379"/>
      <c r="Y34" s="4414"/>
    </row>
    <row r="35" spans="1:26" s="2029" customFormat="1" ht="12.75" hidden="1" customHeight="1">
      <c r="A35" s="4117"/>
      <c r="B35" s="792" t="s">
        <v>25</v>
      </c>
      <c r="C35" s="4375"/>
      <c r="D35" s="2049"/>
      <c r="E35" s="2057"/>
      <c r="F35" s="2058"/>
      <c r="G35" s="2058"/>
      <c r="H35" s="2058"/>
      <c r="I35" s="2059"/>
      <c r="J35" s="2059"/>
      <c r="K35" s="2059"/>
      <c r="L35" s="2059"/>
      <c r="M35" s="2049"/>
      <c r="N35" s="2057">
        <f>163136-116714</f>
        <v>46422</v>
      </c>
      <c r="O35" s="2057">
        <f>86723-86723</f>
        <v>0</v>
      </c>
      <c r="P35" s="2057">
        <v>0</v>
      </c>
      <c r="Q35" s="2057">
        <v>0</v>
      </c>
      <c r="R35" s="2057">
        <v>0</v>
      </c>
      <c r="S35" s="2057">
        <v>0</v>
      </c>
      <c r="T35" s="2057">
        <v>0</v>
      </c>
      <c r="U35" s="2057"/>
      <c r="V35" s="2057"/>
      <c r="W35" s="2057"/>
      <c r="X35" s="4379"/>
      <c r="Y35" s="4414"/>
    </row>
    <row r="36" spans="1:26" s="1942" customFormat="1" ht="12.75" hidden="1" customHeight="1">
      <c r="A36" s="4117"/>
      <c r="B36" s="2060" t="s">
        <v>30</v>
      </c>
      <c r="C36" s="4375"/>
      <c r="D36" s="2052"/>
      <c r="E36" s="2052"/>
      <c r="F36" s="2044"/>
      <c r="G36" s="2044"/>
      <c r="H36" s="2044"/>
      <c r="I36" s="2045"/>
      <c r="J36" s="2045"/>
      <c r="K36" s="2045"/>
      <c r="L36" s="2045"/>
      <c r="M36" s="2052"/>
      <c r="N36" s="2052">
        <f t="shared" ref="N36:T36" si="40">N37</f>
        <v>263055</v>
      </c>
      <c r="O36" s="2052">
        <f t="shared" si="40"/>
        <v>0</v>
      </c>
      <c r="P36" s="2052">
        <f t="shared" si="40"/>
        <v>0</v>
      </c>
      <c r="Q36" s="2052">
        <f t="shared" si="40"/>
        <v>0</v>
      </c>
      <c r="R36" s="2052">
        <f t="shared" si="40"/>
        <v>0</v>
      </c>
      <c r="S36" s="2052">
        <f t="shared" si="40"/>
        <v>0</v>
      </c>
      <c r="T36" s="2052">
        <f t="shared" si="40"/>
        <v>0</v>
      </c>
      <c r="U36" s="2052"/>
      <c r="V36" s="2052"/>
      <c r="W36" s="2052"/>
      <c r="X36" s="4379"/>
      <c r="Y36" s="4414"/>
    </row>
    <row r="37" spans="1:26" s="1942" customFormat="1" ht="12" hidden="1" customHeight="1" thickBot="1">
      <c r="A37" s="4118"/>
      <c r="B37" s="2061" t="s">
        <v>33</v>
      </c>
      <c r="C37" s="4353"/>
      <c r="D37" s="2049"/>
      <c r="E37" s="797"/>
      <c r="F37" s="2062"/>
      <c r="G37" s="2062"/>
      <c r="H37" s="2062"/>
      <c r="I37" s="2063"/>
      <c r="J37" s="2063"/>
      <c r="K37" s="2063"/>
      <c r="L37" s="2063"/>
      <c r="M37" s="2049"/>
      <c r="N37" s="797">
        <f>924435-661380</f>
        <v>263055</v>
      </c>
      <c r="O37" s="797">
        <f>491426-491426</f>
        <v>0</v>
      </c>
      <c r="P37" s="797">
        <v>0</v>
      </c>
      <c r="Q37" s="797">
        <v>0</v>
      </c>
      <c r="R37" s="797">
        <v>0</v>
      </c>
      <c r="S37" s="797">
        <v>0</v>
      </c>
      <c r="T37" s="797">
        <v>0</v>
      </c>
      <c r="U37" s="797"/>
      <c r="V37" s="797"/>
      <c r="W37" s="797"/>
      <c r="X37" s="4380"/>
      <c r="Y37" s="4415"/>
    </row>
    <row r="38" spans="1:26" s="1942" customFormat="1" ht="36.75" hidden="1" customHeight="1">
      <c r="A38" s="4349"/>
      <c r="B38" s="771" t="s">
        <v>215</v>
      </c>
      <c r="C38" s="772" t="s">
        <v>98</v>
      </c>
      <c r="D38" s="837"/>
      <c r="E38" s="2330"/>
      <c r="F38" s="2331"/>
      <c r="G38" s="2331"/>
      <c r="H38" s="2332"/>
      <c r="I38" s="2333"/>
      <c r="J38" s="2333"/>
      <c r="K38" s="2334"/>
      <c r="L38" s="2334"/>
      <c r="M38" s="835"/>
      <c r="N38" s="835"/>
      <c r="O38" s="835"/>
      <c r="P38" s="835"/>
      <c r="Q38" s="835"/>
      <c r="R38" s="835"/>
      <c r="S38" s="835"/>
      <c r="T38" s="835"/>
      <c r="U38" s="835"/>
      <c r="V38" s="835"/>
      <c r="W38" s="1246"/>
      <c r="X38" s="2038"/>
      <c r="Y38" s="4413" t="s">
        <v>213</v>
      </c>
    </row>
    <row r="39" spans="1:26" s="1942" customFormat="1" ht="12" hidden="1" customHeight="1">
      <c r="A39" s="4350"/>
      <c r="B39" s="381" t="s">
        <v>22</v>
      </c>
      <c r="C39" s="798"/>
      <c r="D39" s="2039"/>
      <c r="E39" s="2039"/>
      <c r="F39" s="2040"/>
      <c r="G39" s="2040"/>
      <c r="H39" s="2040"/>
      <c r="I39" s="2041"/>
      <c r="J39" s="2041"/>
      <c r="K39" s="2041"/>
      <c r="L39" s="2041"/>
      <c r="M39" s="2039"/>
      <c r="N39" s="2039">
        <f>+N40+N42</f>
        <v>0</v>
      </c>
      <c r="O39" s="2039">
        <f t="shared" ref="O39:P39" si="41">+O40+O42</f>
        <v>0</v>
      </c>
      <c r="P39" s="2039">
        <f t="shared" si="41"/>
        <v>0</v>
      </c>
      <c r="Q39" s="2039">
        <f t="shared" ref="Q39:T39" si="42">+Q40+Q42</f>
        <v>0</v>
      </c>
      <c r="R39" s="2039">
        <f t="shared" si="42"/>
        <v>0</v>
      </c>
      <c r="S39" s="2039">
        <f t="shared" si="42"/>
        <v>0</v>
      </c>
      <c r="T39" s="2039">
        <f t="shared" si="42"/>
        <v>0</v>
      </c>
      <c r="U39" s="2039"/>
      <c r="V39" s="2039"/>
      <c r="W39" s="2039"/>
      <c r="X39" s="2042">
        <f>X40+X42</f>
        <v>0</v>
      </c>
      <c r="Y39" s="4414"/>
      <c r="Z39" s="2004"/>
    </row>
    <row r="40" spans="1:26" s="1942" customFormat="1" ht="12" hidden="1" customHeight="1">
      <c r="A40" s="4350"/>
      <c r="B40" s="779" t="s">
        <v>36</v>
      </c>
      <c r="C40" s="4416" t="s">
        <v>214</v>
      </c>
      <c r="D40" s="2043"/>
      <c r="E40" s="2043"/>
      <c r="F40" s="2044"/>
      <c r="G40" s="2044"/>
      <c r="H40" s="2044"/>
      <c r="I40" s="2045"/>
      <c r="J40" s="2045"/>
      <c r="K40" s="2045"/>
      <c r="L40" s="2045"/>
      <c r="M40" s="2043"/>
      <c r="N40" s="2043">
        <f t="shared" ref="N40:S40" si="43">+N41</f>
        <v>0</v>
      </c>
      <c r="O40" s="2043">
        <f t="shared" si="43"/>
        <v>0</v>
      </c>
      <c r="P40" s="2043">
        <f t="shared" si="43"/>
        <v>0</v>
      </c>
      <c r="Q40" s="2043">
        <f t="shared" si="43"/>
        <v>0</v>
      </c>
      <c r="R40" s="2043">
        <f t="shared" si="43"/>
        <v>0</v>
      </c>
      <c r="S40" s="2043">
        <f t="shared" si="43"/>
        <v>0</v>
      </c>
      <c r="T40" s="2043">
        <f>+T41</f>
        <v>0</v>
      </c>
      <c r="U40" s="2043"/>
      <c r="V40" s="2043"/>
      <c r="W40" s="2043"/>
      <c r="X40" s="2046">
        <f>+X41</f>
        <v>0</v>
      </c>
      <c r="Y40" s="4414"/>
    </row>
    <row r="41" spans="1:26" s="1942" customFormat="1" ht="12" hidden="1" customHeight="1">
      <c r="A41" s="4350"/>
      <c r="B41" s="782" t="s">
        <v>25</v>
      </c>
      <c r="C41" s="4375"/>
      <c r="D41" s="2049"/>
      <c r="E41" s="2049"/>
      <c r="F41" s="2050"/>
      <c r="G41" s="2050"/>
      <c r="H41" s="2050"/>
      <c r="I41" s="2051"/>
      <c r="J41" s="2051"/>
      <c r="K41" s="2051"/>
      <c r="L41" s="2051"/>
      <c r="M41" s="2049"/>
      <c r="N41" s="2049">
        <v>0</v>
      </c>
      <c r="O41" s="2049">
        <v>0</v>
      </c>
      <c r="P41" s="784">
        <v>0</v>
      </c>
      <c r="Q41" s="784">
        <v>0</v>
      </c>
      <c r="R41" s="784">
        <v>0</v>
      </c>
      <c r="S41" s="784">
        <v>0</v>
      </c>
      <c r="T41" s="784">
        <v>0</v>
      </c>
      <c r="U41" s="784"/>
      <c r="V41" s="784"/>
      <c r="W41" s="784"/>
      <c r="X41" s="2016">
        <f>SUM(P41:T41)</f>
        <v>0</v>
      </c>
      <c r="Y41" s="4414"/>
    </row>
    <row r="42" spans="1:26" s="1942" customFormat="1" ht="12" hidden="1" customHeight="1">
      <c r="A42" s="4350"/>
      <c r="B42" s="525" t="s">
        <v>30</v>
      </c>
      <c r="C42" s="4375"/>
      <c r="D42" s="2052"/>
      <c r="E42" s="2052"/>
      <c r="F42" s="2044"/>
      <c r="G42" s="2044"/>
      <c r="H42" s="2044"/>
      <c r="I42" s="2045"/>
      <c r="J42" s="2045"/>
      <c r="K42" s="2045"/>
      <c r="L42" s="2045"/>
      <c r="M42" s="2052"/>
      <c r="N42" s="2052">
        <f>N43</f>
        <v>0</v>
      </c>
      <c r="O42" s="2052">
        <f t="shared" ref="O42:T42" si="44">O43</f>
        <v>0</v>
      </c>
      <c r="P42" s="2052">
        <f t="shared" si="44"/>
        <v>0</v>
      </c>
      <c r="Q42" s="2052">
        <f t="shared" si="44"/>
        <v>0</v>
      </c>
      <c r="R42" s="2052">
        <f t="shared" si="44"/>
        <v>0</v>
      </c>
      <c r="S42" s="2052">
        <f t="shared" si="44"/>
        <v>0</v>
      </c>
      <c r="T42" s="2052">
        <f t="shared" si="44"/>
        <v>0</v>
      </c>
      <c r="U42" s="2052"/>
      <c r="V42" s="2052"/>
      <c r="W42" s="2052"/>
      <c r="X42" s="2064"/>
      <c r="Y42" s="4414"/>
    </row>
    <row r="43" spans="1:26" s="1942" customFormat="1" ht="12" hidden="1" customHeight="1">
      <c r="A43" s="4350"/>
      <c r="B43" s="2053" t="s">
        <v>33</v>
      </c>
      <c r="C43" s="4352"/>
      <c r="D43" s="2049"/>
      <c r="E43" s="2049"/>
      <c r="F43" s="2055"/>
      <c r="G43" s="2055"/>
      <c r="H43" s="2055"/>
      <c r="I43" s="2056"/>
      <c r="J43" s="2056"/>
      <c r="K43" s="2056"/>
      <c r="L43" s="2056"/>
      <c r="M43" s="2049"/>
      <c r="N43" s="2054">
        <v>0</v>
      </c>
      <c r="O43" s="2054">
        <v>0</v>
      </c>
      <c r="P43" s="650">
        <v>0</v>
      </c>
      <c r="Q43" s="650">
        <v>0</v>
      </c>
      <c r="R43" s="650">
        <v>0</v>
      </c>
      <c r="S43" s="650">
        <v>0</v>
      </c>
      <c r="T43" s="650">
        <v>0</v>
      </c>
      <c r="U43" s="650"/>
      <c r="V43" s="650"/>
      <c r="W43" s="650"/>
      <c r="X43" s="2016">
        <f>SUM(P43:T43)</f>
        <v>0</v>
      </c>
      <c r="Y43" s="4414"/>
    </row>
    <row r="44" spans="1:26" s="1942" customFormat="1" ht="12" hidden="1" customHeight="1">
      <c r="A44" s="4117"/>
      <c r="B44" s="381" t="s">
        <v>34</v>
      </c>
      <c r="C44" s="789"/>
      <c r="D44" s="2039"/>
      <c r="E44" s="2039"/>
      <c r="F44" s="2040"/>
      <c r="G44" s="2040"/>
      <c r="H44" s="2040"/>
      <c r="I44" s="2041"/>
      <c r="J44" s="2041"/>
      <c r="K44" s="2041"/>
      <c r="L44" s="2041"/>
      <c r="M44" s="2039"/>
      <c r="N44" s="2039">
        <f t="shared" ref="N44:P44" si="45">N45+N47</f>
        <v>0</v>
      </c>
      <c r="O44" s="2039">
        <f t="shared" si="45"/>
        <v>0</v>
      </c>
      <c r="P44" s="2039">
        <f t="shared" si="45"/>
        <v>0</v>
      </c>
      <c r="Q44" s="2039">
        <f t="shared" ref="Q44:T44" si="46">Q45+Q47</f>
        <v>0</v>
      </c>
      <c r="R44" s="2039">
        <f t="shared" si="46"/>
        <v>0</v>
      </c>
      <c r="S44" s="2039">
        <f t="shared" si="46"/>
        <v>0</v>
      </c>
      <c r="T44" s="2039">
        <f t="shared" si="46"/>
        <v>0</v>
      </c>
      <c r="U44" s="2039"/>
      <c r="V44" s="2039"/>
      <c r="W44" s="2039"/>
      <c r="X44" s="4419" t="s">
        <v>77</v>
      </c>
      <c r="Y44" s="4414"/>
    </row>
    <row r="45" spans="1:26" s="1942" customFormat="1" ht="12" hidden="1" customHeight="1">
      <c r="A45" s="4117"/>
      <c r="B45" s="791" t="s">
        <v>36</v>
      </c>
      <c r="C45" s="4416" t="s">
        <v>214</v>
      </c>
      <c r="D45" s="2043"/>
      <c r="E45" s="2043"/>
      <c r="F45" s="2044"/>
      <c r="G45" s="2044"/>
      <c r="H45" s="2044"/>
      <c r="I45" s="2045"/>
      <c r="J45" s="2045"/>
      <c r="K45" s="2045"/>
      <c r="L45" s="2045"/>
      <c r="M45" s="2043"/>
      <c r="N45" s="2043">
        <f t="shared" ref="N45:T45" si="47">N46</f>
        <v>0</v>
      </c>
      <c r="O45" s="2043">
        <f t="shared" si="47"/>
        <v>0</v>
      </c>
      <c r="P45" s="2043">
        <f t="shared" si="47"/>
        <v>0</v>
      </c>
      <c r="Q45" s="2043">
        <f t="shared" si="47"/>
        <v>0</v>
      </c>
      <c r="R45" s="2043">
        <f t="shared" si="47"/>
        <v>0</v>
      </c>
      <c r="S45" s="2043">
        <f t="shared" si="47"/>
        <v>0</v>
      </c>
      <c r="T45" s="2043">
        <f t="shared" si="47"/>
        <v>0</v>
      </c>
      <c r="U45" s="2043"/>
      <c r="V45" s="2043"/>
      <c r="W45" s="2043"/>
      <c r="X45" s="4379"/>
      <c r="Y45" s="4414"/>
    </row>
    <row r="46" spans="1:26" s="1942" customFormat="1" ht="12" hidden="1" customHeight="1">
      <c r="A46" s="4117"/>
      <c r="B46" s="792" t="s">
        <v>25</v>
      </c>
      <c r="C46" s="4375"/>
      <c r="D46" s="2049"/>
      <c r="E46" s="2049"/>
      <c r="F46" s="2058"/>
      <c r="G46" s="2058"/>
      <c r="H46" s="2058"/>
      <c r="I46" s="2059"/>
      <c r="J46" s="2059"/>
      <c r="K46" s="2059"/>
      <c r="L46" s="2059"/>
      <c r="M46" s="2049"/>
      <c r="N46" s="2057">
        <v>0</v>
      </c>
      <c r="O46" s="2057">
        <v>0</v>
      </c>
      <c r="P46" s="2057">
        <v>0</v>
      </c>
      <c r="Q46" s="2057">
        <v>0</v>
      </c>
      <c r="R46" s="2057">
        <v>0</v>
      </c>
      <c r="S46" s="2057">
        <v>0</v>
      </c>
      <c r="T46" s="2057">
        <v>0</v>
      </c>
      <c r="U46" s="2057"/>
      <c r="V46" s="2057"/>
      <c r="W46" s="2057"/>
      <c r="X46" s="4379"/>
      <c r="Y46" s="4414"/>
    </row>
    <row r="47" spans="1:26" s="1942" customFormat="1" ht="12" hidden="1" customHeight="1">
      <c r="A47" s="4117"/>
      <c r="B47" s="2060" t="s">
        <v>30</v>
      </c>
      <c r="C47" s="4375"/>
      <c r="D47" s="2052"/>
      <c r="E47" s="2052"/>
      <c r="F47" s="2044"/>
      <c r="G47" s="2044"/>
      <c r="H47" s="2044"/>
      <c r="I47" s="2045"/>
      <c r="J47" s="2045"/>
      <c r="K47" s="2045"/>
      <c r="L47" s="2045"/>
      <c r="M47" s="2052"/>
      <c r="N47" s="2052">
        <f t="shared" ref="N47:T47" si="48">N48</f>
        <v>0</v>
      </c>
      <c r="O47" s="2052">
        <f t="shared" si="48"/>
        <v>0</v>
      </c>
      <c r="P47" s="2052">
        <f t="shared" si="48"/>
        <v>0</v>
      </c>
      <c r="Q47" s="2052">
        <f t="shared" si="48"/>
        <v>0</v>
      </c>
      <c r="R47" s="2052">
        <f t="shared" si="48"/>
        <v>0</v>
      </c>
      <c r="S47" s="2052">
        <f t="shared" si="48"/>
        <v>0</v>
      </c>
      <c r="T47" s="2052">
        <f t="shared" si="48"/>
        <v>0</v>
      </c>
      <c r="U47" s="2052"/>
      <c r="V47" s="2052"/>
      <c r="W47" s="2052"/>
      <c r="X47" s="4379"/>
      <c r="Y47" s="4414"/>
    </row>
    <row r="48" spans="1:26" s="1942" customFormat="1" ht="12" hidden="1" customHeight="1" thickBot="1">
      <c r="A48" s="4118"/>
      <c r="B48" s="2061" t="s">
        <v>33</v>
      </c>
      <c r="C48" s="4353"/>
      <c r="D48" s="800"/>
      <c r="E48" s="796"/>
      <c r="F48" s="2062"/>
      <c r="G48" s="2062"/>
      <c r="H48" s="2062"/>
      <c r="I48" s="2063"/>
      <c r="J48" s="2063"/>
      <c r="K48" s="2063"/>
      <c r="L48" s="2063"/>
      <c r="M48" s="800"/>
      <c r="N48" s="797">
        <v>0</v>
      </c>
      <c r="O48" s="797">
        <v>0</v>
      </c>
      <c r="P48" s="797">
        <v>0</v>
      </c>
      <c r="Q48" s="797">
        <v>0</v>
      </c>
      <c r="R48" s="797">
        <v>0</v>
      </c>
      <c r="S48" s="797">
        <v>0</v>
      </c>
      <c r="T48" s="797">
        <v>0</v>
      </c>
      <c r="U48" s="797"/>
      <c r="V48" s="797"/>
      <c r="W48" s="797"/>
      <c r="X48" s="4380"/>
      <c r="Y48" s="4415"/>
    </row>
    <row r="49" spans="1:25" s="1942" customFormat="1" ht="42" customHeight="1">
      <c r="A49" s="4349" t="s">
        <v>79</v>
      </c>
      <c r="B49" s="771" t="s">
        <v>537</v>
      </c>
      <c r="C49" s="772" t="s">
        <v>131</v>
      </c>
      <c r="D49" s="837"/>
      <c r="E49" s="2330"/>
      <c r="F49" s="2331"/>
      <c r="G49" s="2331"/>
      <c r="H49" s="2332"/>
      <c r="I49" s="2333"/>
      <c r="J49" s="2333"/>
      <c r="K49" s="2334"/>
      <c r="L49" s="2334"/>
      <c r="M49" s="835"/>
      <c r="N49" s="835"/>
      <c r="O49" s="835"/>
      <c r="P49" s="835"/>
      <c r="Q49" s="835"/>
      <c r="R49" s="835"/>
      <c r="S49" s="835"/>
      <c r="T49" s="835"/>
      <c r="U49" s="835"/>
      <c r="V49" s="835"/>
      <c r="W49" s="1246"/>
      <c r="X49" s="2038"/>
      <c r="Y49" s="4413" t="s">
        <v>213</v>
      </c>
    </row>
    <row r="50" spans="1:25" s="1942" customFormat="1" ht="12" customHeight="1">
      <c r="A50" s="4350"/>
      <c r="B50" s="381" t="s">
        <v>22</v>
      </c>
      <c r="C50" s="798"/>
      <c r="D50" s="2039">
        <f>+D51+D53</f>
        <v>11452000</v>
      </c>
      <c r="E50" s="2039">
        <f t="shared" ref="E50:P50" si="49">+E51+E53</f>
        <v>0</v>
      </c>
      <c r="F50" s="2040">
        <f t="shared" si="49"/>
        <v>0</v>
      </c>
      <c r="G50" s="2040">
        <f t="shared" si="49"/>
        <v>0</v>
      </c>
      <c r="H50" s="2040">
        <f t="shared" si="49"/>
        <v>0</v>
      </c>
      <c r="I50" s="2041">
        <f t="shared" si="49"/>
        <v>0</v>
      </c>
      <c r="J50" s="2041">
        <f t="shared" si="49"/>
        <v>0</v>
      </c>
      <c r="K50" s="2041">
        <f t="shared" si="49"/>
        <v>0</v>
      </c>
      <c r="L50" s="2041">
        <f t="shared" si="49"/>
        <v>0</v>
      </c>
      <c r="M50" s="2039">
        <f t="shared" ref="M50" si="50">+M51+M53</f>
        <v>0</v>
      </c>
      <c r="N50" s="2039">
        <f t="shared" si="49"/>
        <v>0</v>
      </c>
      <c r="O50" s="2039">
        <f t="shared" si="49"/>
        <v>1852000</v>
      </c>
      <c r="P50" s="2039">
        <f t="shared" si="49"/>
        <v>2300000</v>
      </c>
      <c r="Q50" s="2039">
        <f t="shared" ref="Q50:R50" si="51">+Q51+Q53</f>
        <v>2200000</v>
      </c>
      <c r="R50" s="2039">
        <f t="shared" si="51"/>
        <v>2200000</v>
      </c>
      <c r="S50" s="2039">
        <f t="shared" ref="S50:T50" si="52">+S51+S53</f>
        <v>1500000</v>
      </c>
      <c r="T50" s="2039">
        <f t="shared" si="52"/>
        <v>1400000</v>
      </c>
      <c r="U50" s="2039"/>
      <c r="V50" s="2039"/>
      <c r="W50" s="2039"/>
      <c r="X50" s="2042">
        <f>X51+X53</f>
        <v>9600000</v>
      </c>
      <c r="Y50" s="4414"/>
    </row>
    <row r="51" spans="1:25" s="1942" customFormat="1" ht="12" customHeight="1">
      <c r="A51" s="4350"/>
      <c r="B51" s="779" t="s">
        <v>36</v>
      </c>
      <c r="C51" s="4416" t="s">
        <v>374</v>
      </c>
      <c r="D51" s="2043">
        <f>+D52</f>
        <v>1717800</v>
      </c>
      <c r="E51" s="2043">
        <f t="shared" ref="E51:T51" si="53">+E52</f>
        <v>0</v>
      </c>
      <c r="F51" s="2044">
        <f t="shared" si="53"/>
        <v>0</v>
      </c>
      <c r="G51" s="2044">
        <f t="shared" si="53"/>
        <v>0</v>
      </c>
      <c r="H51" s="2044">
        <f t="shared" si="53"/>
        <v>0</v>
      </c>
      <c r="I51" s="2045">
        <f t="shared" si="53"/>
        <v>0</v>
      </c>
      <c r="J51" s="2045">
        <f t="shared" si="53"/>
        <v>0</v>
      </c>
      <c r="K51" s="2045">
        <f t="shared" si="53"/>
        <v>0</v>
      </c>
      <c r="L51" s="2045">
        <f t="shared" si="53"/>
        <v>0</v>
      </c>
      <c r="M51" s="2043">
        <f t="shared" si="53"/>
        <v>0</v>
      </c>
      <c r="N51" s="2043">
        <f t="shared" si="53"/>
        <v>0</v>
      </c>
      <c r="O51" s="2043">
        <f t="shared" si="53"/>
        <v>277800</v>
      </c>
      <c r="P51" s="2043">
        <f t="shared" si="53"/>
        <v>345000</v>
      </c>
      <c r="Q51" s="2043">
        <f t="shared" si="53"/>
        <v>330000</v>
      </c>
      <c r="R51" s="2043">
        <f t="shared" si="53"/>
        <v>330000</v>
      </c>
      <c r="S51" s="2043">
        <f t="shared" si="53"/>
        <v>225000</v>
      </c>
      <c r="T51" s="2043">
        <f t="shared" si="53"/>
        <v>210000</v>
      </c>
      <c r="U51" s="2043"/>
      <c r="V51" s="2043"/>
      <c r="W51" s="2043"/>
      <c r="X51" s="2046">
        <f>+X52</f>
        <v>1440000</v>
      </c>
      <c r="Y51" s="4414"/>
    </row>
    <row r="52" spans="1:25" s="1942" customFormat="1" ht="12" customHeight="1">
      <c r="A52" s="4350"/>
      <c r="B52" s="782" t="s">
        <v>25</v>
      </c>
      <c r="C52" s="4375"/>
      <c r="D52" s="2049">
        <f>M52+O52+P52+Q52+R52+S52+T52+U52+V52+W52</f>
        <v>1717800</v>
      </c>
      <c r="E52" s="2049">
        <v>0</v>
      </c>
      <c r="F52" s="2050"/>
      <c r="G52" s="2050"/>
      <c r="H52" s="2050">
        <v>0</v>
      </c>
      <c r="I52" s="2051"/>
      <c r="J52" s="2051"/>
      <c r="K52" s="2051"/>
      <c r="L52" s="2051"/>
      <c r="M52" s="2049">
        <f>+E52+I52+J52+K52+L52+N52</f>
        <v>0</v>
      </c>
      <c r="N52" s="2049">
        <v>0</v>
      </c>
      <c r="O52" s="2049">
        <v>277800</v>
      </c>
      <c r="P52" s="784">
        <v>345000</v>
      </c>
      <c r="Q52" s="784">
        <v>330000</v>
      </c>
      <c r="R52" s="784">
        <v>330000</v>
      </c>
      <c r="S52" s="784">
        <v>225000</v>
      </c>
      <c r="T52" s="784">
        <v>210000</v>
      </c>
      <c r="U52" s="784"/>
      <c r="V52" s="784"/>
      <c r="W52" s="784"/>
      <c r="X52" s="2016">
        <f>SUM(P52:T52)</f>
        <v>1440000</v>
      </c>
      <c r="Y52" s="4414"/>
    </row>
    <row r="53" spans="1:25" s="1942" customFormat="1" ht="12" customHeight="1">
      <c r="A53" s="4350"/>
      <c r="B53" s="525" t="s">
        <v>30</v>
      </c>
      <c r="C53" s="4375"/>
      <c r="D53" s="2052">
        <f>+D54</f>
        <v>9734200</v>
      </c>
      <c r="E53" s="2052">
        <f t="shared" ref="E53:T53" si="54">E54</f>
        <v>0</v>
      </c>
      <c r="F53" s="2044">
        <f t="shared" si="54"/>
        <v>0</v>
      </c>
      <c r="G53" s="2044">
        <f t="shared" si="54"/>
        <v>0</v>
      </c>
      <c r="H53" s="2044">
        <f t="shared" si="54"/>
        <v>0</v>
      </c>
      <c r="I53" s="2045">
        <f t="shared" si="54"/>
        <v>0</v>
      </c>
      <c r="J53" s="2045">
        <f t="shared" si="54"/>
        <v>0</v>
      </c>
      <c r="K53" s="2045">
        <f t="shared" si="54"/>
        <v>0</v>
      </c>
      <c r="L53" s="2045">
        <f t="shared" si="54"/>
        <v>0</v>
      </c>
      <c r="M53" s="2052">
        <f t="shared" si="54"/>
        <v>0</v>
      </c>
      <c r="N53" s="2052">
        <f t="shared" si="54"/>
        <v>0</v>
      </c>
      <c r="O53" s="2052">
        <f t="shared" si="54"/>
        <v>1574200</v>
      </c>
      <c r="P53" s="2052">
        <f t="shared" si="54"/>
        <v>1955000</v>
      </c>
      <c r="Q53" s="2052">
        <f t="shared" si="54"/>
        <v>1870000</v>
      </c>
      <c r="R53" s="2052">
        <f t="shared" si="54"/>
        <v>1870000</v>
      </c>
      <c r="S53" s="2052">
        <f t="shared" si="54"/>
        <v>1275000</v>
      </c>
      <c r="T53" s="2052">
        <f t="shared" si="54"/>
        <v>1190000</v>
      </c>
      <c r="U53" s="2052"/>
      <c r="V53" s="2052"/>
      <c r="W53" s="2052"/>
      <c r="X53" s="2046">
        <f>+X54</f>
        <v>8160000</v>
      </c>
      <c r="Y53" s="4414"/>
    </row>
    <row r="54" spans="1:25" s="1942" customFormat="1" ht="12" customHeight="1">
      <c r="A54" s="4350"/>
      <c r="B54" s="2053" t="s">
        <v>33</v>
      </c>
      <c r="C54" s="4352"/>
      <c r="D54" s="2049">
        <f>M54+O54+P54+Q54+R54+S54+T54+U54+V54+W54</f>
        <v>9734200</v>
      </c>
      <c r="E54" s="2054">
        <v>0</v>
      </c>
      <c r="F54" s="2055"/>
      <c r="G54" s="2055"/>
      <c r="H54" s="2055">
        <v>0</v>
      </c>
      <c r="I54" s="2056"/>
      <c r="J54" s="2056"/>
      <c r="K54" s="2056"/>
      <c r="L54" s="2056"/>
      <c r="M54" s="2049">
        <f>+E54+I54+J54+K54+L54+N54</f>
        <v>0</v>
      </c>
      <c r="N54" s="2054">
        <v>0</v>
      </c>
      <c r="O54" s="2054">
        <v>1574200</v>
      </c>
      <c r="P54" s="650">
        <v>1955000</v>
      </c>
      <c r="Q54" s="650">
        <v>1870000</v>
      </c>
      <c r="R54" s="650">
        <v>1870000</v>
      </c>
      <c r="S54" s="650">
        <v>1275000</v>
      </c>
      <c r="T54" s="650">
        <v>1190000</v>
      </c>
      <c r="U54" s="650"/>
      <c r="V54" s="650"/>
      <c r="W54" s="650"/>
      <c r="X54" s="2016">
        <f>SUM(P54:T54)</f>
        <v>8160000</v>
      </c>
      <c r="Y54" s="4414"/>
    </row>
    <row r="55" spans="1:25" s="1942" customFormat="1" ht="12" customHeight="1">
      <c r="A55" s="4117"/>
      <c r="B55" s="381" t="s">
        <v>34</v>
      </c>
      <c r="C55" s="789"/>
      <c r="D55" s="2039">
        <f>+D56+D58</f>
        <v>11452000</v>
      </c>
      <c r="E55" s="2039">
        <f t="shared" ref="E55:P55" si="55">E56+E58</f>
        <v>0</v>
      </c>
      <c r="F55" s="2040">
        <f t="shared" si="55"/>
        <v>0</v>
      </c>
      <c r="G55" s="2040">
        <f t="shared" si="55"/>
        <v>0</v>
      </c>
      <c r="H55" s="2040">
        <f t="shared" si="55"/>
        <v>0</v>
      </c>
      <c r="I55" s="2041">
        <f t="shared" si="55"/>
        <v>0</v>
      </c>
      <c r="J55" s="2041">
        <f t="shared" si="55"/>
        <v>0</v>
      </c>
      <c r="K55" s="2041">
        <f t="shared" si="55"/>
        <v>0</v>
      </c>
      <c r="L55" s="2041">
        <f t="shared" si="55"/>
        <v>0</v>
      </c>
      <c r="M55" s="2039">
        <f t="shared" ref="M55" si="56">M56+M58</f>
        <v>0</v>
      </c>
      <c r="N55" s="2039">
        <f t="shared" si="55"/>
        <v>0</v>
      </c>
      <c r="O55" s="2039">
        <f t="shared" si="55"/>
        <v>1852000</v>
      </c>
      <c r="P55" s="2039">
        <f t="shared" si="55"/>
        <v>2300000</v>
      </c>
      <c r="Q55" s="2039">
        <f t="shared" ref="Q55:R55" si="57">Q56+Q58</f>
        <v>2200000</v>
      </c>
      <c r="R55" s="2039">
        <f t="shared" si="57"/>
        <v>2200000</v>
      </c>
      <c r="S55" s="2065">
        <f t="shared" ref="S55:T55" si="58">S56+S58</f>
        <v>1500000</v>
      </c>
      <c r="T55" s="2039">
        <f t="shared" si="58"/>
        <v>1400000</v>
      </c>
      <c r="U55" s="2039"/>
      <c r="V55" s="2039"/>
      <c r="W55" s="2039"/>
      <c r="X55" s="4419" t="s">
        <v>77</v>
      </c>
      <c r="Y55" s="4414"/>
    </row>
    <row r="56" spans="1:25" s="1942" customFormat="1" ht="12" customHeight="1">
      <c r="A56" s="4117"/>
      <c r="B56" s="791" t="s">
        <v>36</v>
      </c>
      <c r="C56" s="4416" t="s">
        <v>374</v>
      </c>
      <c r="D56" s="2043">
        <f>+D57</f>
        <v>1717800</v>
      </c>
      <c r="E56" s="2043">
        <f t="shared" ref="E56:T56" si="59">E57</f>
        <v>0</v>
      </c>
      <c r="F56" s="2044">
        <f t="shared" si="59"/>
        <v>0</v>
      </c>
      <c r="G56" s="2044">
        <f t="shared" si="59"/>
        <v>0</v>
      </c>
      <c r="H56" s="2044">
        <f t="shared" si="59"/>
        <v>0</v>
      </c>
      <c r="I56" s="2045">
        <f t="shared" si="59"/>
        <v>0</v>
      </c>
      <c r="J56" s="2045">
        <f t="shared" si="59"/>
        <v>0</v>
      </c>
      <c r="K56" s="2045">
        <f t="shared" si="59"/>
        <v>0</v>
      </c>
      <c r="L56" s="2045">
        <f t="shared" si="59"/>
        <v>0</v>
      </c>
      <c r="M56" s="2043">
        <f t="shared" si="59"/>
        <v>0</v>
      </c>
      <c r="N56" s="2043">
        <f t="shared" si="59"/>
        <v>0</v>
      </c>
      <c r="O56" s="2043">
        <f t="shared" si="59"/>
        <v>277800</v>
      </c>
      <c r="P56" s="2043">
        <f t="shared" si="59"/>
        <v>345000</v>
      </c>
      <c r="Q56" s="2043">
        <f t="shared" si="59"/>
        <v>330000</v>
      </c>
      <c r="R56" s="2043">
        <f t="shared" si="59"/>
        <v>330000</v>
      </c>
      <c r="S56" s="2066">
        <f t="shared" si="59"/>
        <v>225000</v>
      </c>
      <c r="T56" s="2043">
        <f t="shared" si="59"/>
        <v>210000</v>
      </c>
      <c r="U56" s="2043"/>
      <c r="V56" s="2043"/>
      <c r="W56" s="2043"/>
      <c r="X56" s="4379"/>
      <c r="Y56" s="4414"/>
    </row>
    <row r="57" spans="1:25" s="1942" customFormat="1" ht="12" customHeight="1">
      <c r="A57" s="4117"/>
      <c r="B57" s="792" t="s">
        <v>25</v>
      </c>
      <c r="C57" s="4375"/>
      <c r="D57" s="2049">
        <f>M57+O57+P57+Q57+R57+S57+T57+U57+V57+W57</f>
        <v>1717800</v>
      </c>
      <c r="E57" s="2057">
        <v>0</v>
      </c>
      <c r="F57" s="2058"/>
      <c r="G57" s="2058"/>
      <c r="H57" s="2058"/>
      <c r="I57" s="2059"/>
      <c r="J57" s="2059"/>
      <c r="K57" s="2059"/>
      <c r="L57" s="2059"/>
      <c r="M57" s="2049">
        <f>+E57+I57+J57+K57+L57+N57</f>
        <v>0</v>
      </c>
      <c r="N57" s="2057">
        <v>0</v>
      </c>
      <c r="O57" s="2057">
        <v>277800</v>
      </c>
      <c r="P57" s="2057">
        <v>345000</v>
      </c>
      <c r="Q57" s="2057">
        <v>330000</v>
      </c>
      <c r="R57" s="2057">
        <v>330000</v>
      </c>
      <c r="S57" s="2057">
        <v>225000</v>
      </c>
      <c r="T57" s="2057">
        <v>210000</v>
      </c>
      <c r="U57" s="2057"/>
      <c r="V57" s="2057"/>
      <c r="W57" s="2057"/>
      <c r="X57" s="4379"/>
      <c r="Y57" s="4414"/>
    </row>
    <row r="58" spans="1:25" s="1942" customFormat="1" ht="12" customHeight="1">
      <c r="A58" s="4117"/>
      <c r="B58" s="2060" t="s">
        <v>30</v>
      </c>
      <c r="C58" s="4375"/>
      <c r="D58" s="2052">
        <f>+D59</f>
        <v>9734200</v>
      </c>
      <c r="E58" s="2052">
        <f t="shared" ref="E58:T58" si="60">E59</f>
        <v>0</v>
      </c>
      <c r="F58" s="2044">
        <f t="shared" si="60"/>
        <v>0</v>
      </c>
      <c r="G58" s="2044">
        <f t="shared" si="60"/>
        <v>0</v>
      </c>
      <c r="H58" s="2044">
        <f t="shared" si="60"/>
        <v>0</v>
      </c>
      <c r="I58" s="2045">
        <f t="shared" si="60"/>
        <v>0</v>
      </c>
      <c r="J58" s="2045">
        <f t="shared" si="60"/>
        <v>0</v>
      </c>
      <c r="K58" s="2045">
        <f t="shared" si="60"/>
        <v>0</v>
      </c>
      <c r="L58" s="2045">
        <f t="shared" si="60"/>
        <v>0</v>
      </c>
      <c r="M58" s="2052">
        <f t="shared" si="60"/>
        <v>0</v>
      </c>
      <c r="N58" s="2052">
        <f t="shared" si="60"/>
        <v>0</v>
      </c>
      <c r="O58" s="2052">
        <f t="shared" si="60"/>
        <v>1574200</v>
      </c>
      <c r="P58" s="2052">
        <f t="shared" si="60"/>
        <v>1955000</v>
      </c>
      <c r="Q58" s="2052">
        <f t="shared" si="60"/>
        <v>1870000</v>
      </c>
      <c r="R58" s="2052">
        <f t="shared" si="60"/>
        <v>1870000</v>
      </c>
      <c r="S58" s="2067">
        <f t="shared" si="60"/>
        <v>1275000</v>
      </c>
      <c r="T58" s="2052">
        <f t="shared" si="60"/>
        <v>1190000</v>
      </c>
      <c r="U58" s="2052"/>
      <c r="V58" s="2052"/>
      <c r="W58" s="2052"/>
      <c r="X58" s="4379"/>
      <c r="Y58" s="4414"/>
    </row>
    <row r="59" spans="1:25" s="1942" customFormat="1" ht="12" customHeight="1" thickBot="1">
      <c r="A59" s="4118"/>
      <c r="B59" s="2061" t="s">
        <v>33</v>
      </c>
      <c r="C59" s="4353"/>
      <c r="D59" s="2049">
        <f>M59+O59+P59+Q59+R59+S59+T59+U59+V59+W59</f>
        <v>9734200</v>
      </c>
      <c r="E59" s="797">
        <v>0</v>
      </c>
      <c r="F59" s="2062"/>
      <c r="G59" s="2062"/>
      <c r="H59" s="2062">
        <v>0</v>
      </c>
      <c r="I59" s="2063"/>
      <c r="J59" s="2063"/>
      <c r="K59" s="2063"/>
      <c r="L59" s="2063"/>
      <c r="M59" s="2049">
        <f>+E59+I59+J59+K59+L59+N59</f>
        <v>0</v>
      </c>
      <c r="N59" s="797">
        <v>0</v>
      </c>
      <c r="O59" s="797">
        <v>1574200</v>
      </c>
      <c r="P59" s="797">
        <v>1955000</v>
      </c>
      <c r="Q59" s="797">
        <v>1870000</v>
      </c>
      <c r="R59" s="797">
        <v>1870000</v>
      </c>
      <c r="S59" s="797">
        <v>1275000</v>
      </c>
      <c r="T59" s="797">
        <v>1190000</v>
      </c>
      <c r="U59" s="797"/>
      <c r="V59" s="797"/>
      <c r="W59" s="797"/>
      <c r="X59" s="4380"/>
      <c r="Y59" s="4415"/>
    </row>
    <row r="60" spans="1:25" s="1942" customFormat="1" ht="43.5" customHeight="1">
      <c r="A60" s="4349" t="s">
        <v>80</v>
      </c>
      <c r="B60" s="771" t="s">
        <v>392</v>
      </c>
      <c r="C60" s="772" t="s">
        <v>98</v>
      </c>
      <c r="D60" s="837"/>
      <c r="E60" s="2330"/>
      <c r="F60" s="2331"/>
      <c r="G60" s="2331"/>
      <c r="H60" s="2332"/>
      <c r="I60" s="2333"/>
      <c r="J60" s="2333"/>
      <c r="K60" s="2334"/>
      <c r="L60" s="2334"/>
      <c r="M60" s="835"/>
      <c r="N60" s="835"/>
      <c r="O60" s="835"/>
      <c r="P60" s="835"/>
      <c r="Q60" s="835"/>
      <c r="R60" s="835"/>
      <c r="S60" s="835"/>
      <c r="T60" s="835"/>
      <c r="U60" s="835"/>
      <c r="V60" s="835"/>
      <c r="W60" s="1246"/>
      <c r="X60" s="2038"/>
      <c r="Y60" s="4413" t="s">
        <v>213</v>
      </c>
    </row>
    <row r="61" spans="1:25" s="1942" customFormat="1" ht="12" customHeight="1">
      <c r="A61" s="4350"/>
      <c r="B61" s="381" t="s">
        <v>22</v>
      </c>
      <c r="C61" s="3618"/>
      <c r="D61" s="3619">
        <f>+D62+D64</f>
        <v>48000</v>
      </c>
      <c r="E61" s="3619">
        <f t="shared" ref="E61:P61" si="61">+E62+E64</f>
        <v>0</v>
      </c>
      <c r="F61" s="3620">
        <f t="shared" si="61"/>
        <v>0</v>
      </c>
      <c r="G61" s="3620">
        <f t="shared" si="61"/>
        <v>0</v>
      </c>
      <c r="H61" s="3620">
        <f t="shared" si="61"/>
        <v>0</v>
      </c>
      <c r="I61" s="3621">
        <f t="shared" si="61"/>
        <v>0</v>
      </c>
      <c r="J61" s="3621">
        <f t="shared" si="61"/>
        <v>0</v>
      </c>
      <c r="K61" s="3621">
        <f t="shared" si="61"/>
        <v>0</v>
      </c>
      <c r="L61" s="3621">
        <f t="shared" si="61"/>
        <v>0</v>
      </c>
      <c r="M61" s="3619">
        <f t="shared" ref="M61" si="62">+M62+M64</f>
        <v>0</v>
      </c>
      <c r="N61" s="3619">
        <f t="shared" si="61"/>
        <v>0</v>
      </c>
      <c r="O61" s="3619">
        <f t="shared" si="61"/>
        <v>48000</v>
      </c>
      <c r="P61" s="3619">
        <f t="shared" si="61"/>
        <v>0</v>
      </c>
      <c r="Q61" s="3619">
        <f t="shared" ref="Q61:R61" si="63">+Q62+Q64</f>
        <v>0</v>
      </c>
      <c r="R61" s="3619">
        <f t="shared" si="63"/>
        <v>0</v>
      </c>
      <c r="S61" s="3619">
        <f t="shared" ref="S61:T61" si="64">+S62+S64</f>
        <v>0</v>
      </c>
      <c r="T61" s="3619">
        <f t="shared" si="64"/>
        <v>0</v>
      </c>
      <c r="U61" s="3619"/>
      <c r="V61" s="3619"/>
      <c r="W61" s="3619"/>
      <c r="X61" s="3622">
        <f>X62+X64</f>
        <v>0</v>
      </c>
      <c r="Y61" s="4414"/>
    </row>
    <row r="62" spans="1:25" s="1942" customFormat="1" ht="12" customHeight="1">
      <c r="A62" s="4350"/>
      <c r="B62" s="779" t="s">
        <v>36</v>
      </c>
      <c r="C62" s="4446" t="s">
        <v>374</v>
      </c>
      <c r="D62" s="3623">
        <f>+D63</f>
        <v>7200</v>
      </c>
      <c r="E62" s="3623">
        <f t="shared" ref="E62:T62" si="65">+E63</f>
        <v>0</v>
      </c>
      <c r="F62" s="3624">
        <f t="shared" si="65"/>
        <v>0</v>
      </c>
      <c r="G62" s="3624">
        <f t="shared" si="65"/>
        <v>0</v>
      </c>
      <c r="H62" s="3624">
        <f t="shared" si="65"/>
        <v>0</v>
      </c>
      <c r="I62" s="3625">
        <f t="shared" si="65"/>
        <v>0</v>
      </c>
      <c r="J62" s="3625">
        <f t="shared" si="65"/>
        <v>0</v>
      </c>
      <c r="K62" s="3625">
        <f t="shared" si="65"/>
        <v>0</v>
      </c>
      <c r="L62" s="3625">
        <f t="shared" si="65"/>
        <v>0</v>
      </c>
      <c r="M62" s="3623">
        <f t="shared" si="65"/>
        <v>0</v>
      </c>
      <c r="N62" s="3623">
        <f t="shared" si="65"/>
        <v>0</v>
      </c>
      <c r="O62" s="3623">
        <f t="shared" si="65"/>
        <v>7200</v>
      </c>
      <c r="P62" s="3623">
        <f t="shared" si="65"/>
        <v>0</v>
      </c>
      <c r="Q62" s="3623">
        <f t="shared" si="65"/>
        <v>0</v>
      </c>
      <c r="R62" s="3623">
        <f t="shared" si="65"/>
        <v>0</v>
      </c>
      <c r="S62" s="3623">
        <f t="shared" si="65"/>
        <v>0</v>
      </c>
      <c r="T62" s="3623">
        <f t="shared" si="65"/>
        <v>0</v>
      </c>
      <c r="U62" s="3623"/>
      <c r="V62" s="3623"/>
      <c r="W62" s="3623"/>
      <c r="X62" s="3626">
        <f>+X63</f>
        <v>0</v>
      </c>
      <c r="Y62" s="4414"/>
    </row>
    <row r="63" spans="1:25" s="1942" customFormat="1" ht="12" customHeight="1">
      <c r="A63" s="4350"/>
      <c r="B63" s="782" t="s">
        <v>25</v>
      </c>
      <c r="C63" s="4375"/>
      <c r="D63" s="3627">
        <f>M63+O63+P63+Q63+R63+S63+T63+U63+V63+W63</f>
        <v>7200</v>
      </c>
      <c r="E63" s="3627">
        <v>0</v>
      </c>
      <c r="F63" s="3628"/>
      <c r="G63" s="3628"/>
      <c r="H63" s="3628">
        <v>0</v>
      </c>
      <c r="I63" s="3629"/>
      <c r="J63" s="3629"/>
      <c r="K63" s="3629"/>
      <c r="L63" s="3629"/>
      <c r="M63" s="3627">
        <f>+E63+I63+J63+K63+L63+N63</f>
        <v>0</v>
      </c>
      <c r="N63" s="3627">
        <v>0</v>
      </c>
      <c r="O63" s="3627">
        <v>7200</v>
      </c>
      <c r="P63" s="784">
        <v>0</v>
      </c>
      <c r="Q63" s="784">
        <v>0</v>
      </c>
      <c r="R63" s="784">
        <v>0</v>
      </c>
      <c r="S63" s="784">
        <v>0</v>
      </c>
      <c r="T63" s="784">
        <v>0</v>
      </c>
      <c r="U63" s="784"/>
      <c r="V63" s="784"/>
      <c r="W63" s="784"/>
      <c r="X63" s="2354">
        <f>SUM(P63:T63)</f>
        <v>0</v>
      </c>
      <c r="Y63" s="4414"/>
    </row>
    <row r="64" spans="1:25" s="1942" customFormat="1" ht="12" customHeight="1">
      <c r="A64" s="4350"/>
      <c r="B64" s="525" t="s">
        <v>30</v>
      </c>
      <c r="C64" s="4375"/>
      <c r="D64" s="3630">
        <f t="shared" ref="D64" si="66">E64+I64+J64+K64+L64+N64+O64+P64</f>
        <v>40800</v>
      </c>
      <c r="E64" s="3630">
        <f t="shared" ref="E64:T64" si="67">E65</f>
        <v>0</v>
      </c>
      <c r="F64" s="3624">
        <f t="shared" si="67"/>
        <v>0</v>
      </c>
      <c r="G64" s="3624">
        <f t="shared" si="67"/>
        <v>0</v>
      </c>
      <c r="H64" s="3624">
        <f t="shared" si="67"/>
        <v>0</v>
      </c>
      <c r="I64" s="3625">
        <f t="shared" si="67"/>
        <v>0</v>
      </c>
      <c r="J64" s="3625">
        <f t="shared" si="67"/>
        <v>0</v>
      </c>
      <c r="K64" s="3625">
        <f t="shared" si="67"/>
        <v>0</v>
      </c>
      <c r="L64" s="3625">
        <f t="shared" si="67"/>
        <v>0</v>
      </c>
      <c r="M64" s="3630">
        <f t="shared" si="67"/>
        <v>0</v>
      </c>
      <c r="N64" s="3630">
        <f t="shared" si="67"/>
        <v>0</v>
      </c>
      <c r="O64" s="3630">
        <f t="shared" si="67"/>
        <v>40800</v>
      </c>
      <c r="P64" s="3630">
        <f t="shared" si="67"/>
        <v>0</v>
      </c>
      <c r="Q64" s="3630">
        <f t="shared" si="67"/>
        <v>0</v>
      </c>
      <c r="R64" s="3630">
        <f t="shared" si="67"/>
        <v>0</v>
      </c>
      <c r="S64" s="3630">
        <f t="shared" si="67"/>
        <v>0</v>
      </c>
      <c r="T64" s="3630">
        <f t="shared" si="67"/>
        <v>0</v>
      </c>
      <c r="U64" s="3630"/>
      <c r="V64" s="3630"/>
      <c r="W64" s="3630"/>
      <c r="X64" s="3626">
        <f>+X65</f>
        <v>0</v>
      </c>
      <c r="Y64" s="4414"/>
    </row>
    <row r="65" spans="1:30" s="1942" customFormat="1" ht="12" customHeight="1">
      <c r="A65" s="4350"/>
      <c r="B65" s="3631" t="s">
        <v>33</v>
      </c>
      <c r="C65" s="4352"/>
      <c r="D65" s="3627">
        <f>M65+O65+P65+Q65+R65+S65+T65+U65+V65+W65</f>
        <v>40800</v>
      </c>
      <c r="E65" s="3627">
        <v>0</v>
      </c>
      <c r="F65" s="3632"/>
      <c r="G65" s="3632"/>
      <c r="H65" s="3632">
        <v>0</v>
      </c>
      <c r="I65" s="3633"/>
      <c r="J65" s="3633"/>
      <c r="K65" s="3633"/>
      <c r="L65" s="3633"/>
      <c r="M65" s="3627">
        <f>+E65+I65+J65+K65+L65+N65</f>
        <v>0</v>
      </c>
      <c r="N65" s="3634">
        <v>0</v>
      </c>
      <c r="O65" s="3634">
        <v>40800</v>
      </c>
      <c r="P65" s="650">
        <v>0</v>
      </c>
      <c r="Q65" s="650">
        <v>0</v>
      </c>
      <c r="R65" s="650">
        <v>0</v>
      </c>
      <c r="S65" s="650">
        <v>0</v>
      </c>
      <c r="T65" s="650">
        <v>0</v>
      </c>
      <c r="U65" s="650"/>
      <c r="V65" s="650"/>
      <c r="W65" s="650"/>
      <c r="X65" s="2354">
        <f>SUM(P65:T65)</f>
        <v>0</v>
      </c>
      <c r="Y65" s="4414"/>
    </row>
    <row r="66" spans="1:30" s="1942" customFormat="1" ht="12" customHeight="1">
      <c r="A66" s="4117"/>
      <c r="B66" s="381" t="s">
        <v>34</v>
      </c>
      <c r="C66" s="3635"/>
      <c r="D66" s="3619">
        <f t="shared" ref="D66:D69" si="68">E66+I66+J66+K66+L66+N66+O66+P66</f>
        <v>48000</v>
      </c>
      <c r="E66" s="3619">
        <f t="shared" ref="E66:P66" si="69">E67+E69</f>
        <v>0</v>
      </c>
      <c r="F66" s="3620">
        <f t="shared" si="69"/>
        <v>0</v>
      </c>
      <c r="G66" s="3620">
        <f t="shared" si="69"/>
        <v>0</v>
      </c>
      <c r="H66" s="3620">
        <f t="shared" si="69"/>
        <v>0</v>
      </c>
      <c r="I66" s="3621">
        <f t="shared" si="69"/>
        <v>0</v>
      </c>
      <c r="J66" s="3621">
        <f t="shared" si="69"/>
        <v>0</v>
      </c>
      <c r="K66" s="3621">
        <f t="shared" si="69"/>
        <v>0</v>
      </c>
      <c r="L66" s="3621">
        <f t="shared" si="69"/>
        <v>0</v>
      </c>
      <c r="M66" s="3619">
        <f t="shared" ref="M66" si="70">M67+M69</f>
        <v>0</v>
      </c>
      <c r="N66" s="3619">
        <f t="shared" si="69"/>
        <v>0</v>
      </c>
      <c r="O66" s="3619">
        <f t="shared" si="69"/>
        <v>48000</v>
      </c>
      <c r="P66" s="3619">
        <f t="shared" si="69"/>
        <v>0</v>
      </c>
      <c r="Q66" s="3619">
        <f t="shared" ref="Q66:T66" si="71">Q67+Q69</f>
        <v>0</v>
      </c>
      <c r="R66" s="3619">
        <f t="shared" si="71"/>
        <v>0</v>
      </c>
      <c r="S66" s="3619">
        <f t="shared" si="71"/>
        <v>0</v>
      </c>
      <c r="T66" s="3619">
        <f t="shared" si="71"/>
        <v>0</v>
      </c>
      <c r="U66" s="3619"/>
      <c r="V66" s="3619"/>
      <c r="W66" s="3619"/>
      <c r="X66" s="4424" t="s">
        <v>77</v>
      </c>
      <c r="Y66" s="4414"/>
    </row>
    <row r="67" spans="1:30" s="1942" customFormat="1" ht="12" customHeight="1">
      <c r="A67" s="4117"/>
      <c r="B67" s="3636" t="s">
        <v>36</v>
      </c>
      <c r="C67" s="4446" t="s">
        <v>374</v>
      </c>
      <c r="D67" s="3623">
        <f t="shared" si="68"/>
        <v>7200</v>
      </c>
      <c r="E67" s="3623">
        <f t="shared" ref="E67:T67" si="72">E68</f>
        <v>0</v>
      </c>
      <c r="F67" s="3624">
        <f t="shared" si="72"/>
        <v>0</v>
      </c>
      <c r="G67" s="3624">
        <f t="shared" si="72"/>
        <v>0</v>
      </c>
      <c r="H67" s="3624">
        <f t="shared" si="72"/>
        <v>0</v>
      </c>
      <c r="I67" s="3625">
        <f t="shared" si="72"/>
        <v>0</v>
      </c>
      <c r="J67" s="3625">
        <f t="shared" si="72"/>
        <v>0</v>
      </c>
      <c r="K67" s="3625">
        <f t="shared" si="72"/>
        <v>0</v>
      </c>
      <c r="L67" s="3625">
        <f t="shared" si="72"/>
        <v>0</v>
      </c>
      <c r="M67" s="3623">
        <f t="shared" si="72"/>
        <v>0</v>
      </c>
      <c r="N67" s="3623">
        <f t="shared" si="72"/>
        <v>0</v>
      </c>
      <c r="O67" s="3623">
        <f t="shared" si="72"/>
        <v>7200</v>
      </c>
      <c r="P67" s="3623">
        <f t="shared" si="72"/>
        <v>0</v>
      </c>
      <c r="Q67" s="3623">
        <f t="shared" si="72"/>
        <v>0</v>
      </c>
      <c r="R67" s="3623">
        <f t="shared" si="72"/>
        <v>0</v>
      </c>
      <c r="S67" s="3623">
        <f t="shared" si="72"/>
        <v>0</v>
      </c>
      <c r="T67" s="3623">
        <f t="shared" si="72"/>
        <v>0</v>
      </c>
      <c r="U67" s="3623"/>
      <c r="V67" s="3623"/>
      <c r="W67" s="3623"/>
      <c r="X67" s="4379"/>
      <c r="Y67" s="4414"/>
    </row>
    <row r="68" spans="1:30" s="1942" customFormat="1" ht="12" customHeight="1">
      <c r="A68" s="4117"/>
      <c r="B68" s="792" t="s">
        <v>25</v>
      </c>
      <c r="C68" s="4375"/>
      <c r="D68" s="3627">
        <f>M68+O68+P68+Q68+R68+S68+T68+U68+V68+W68</f>
        <v>7200</v>
      </c>
      <c r="E68" s="3627">
        <v>0</v>
      </c>
      <c r="F68" s="3637"/>
      <c r="G68" s="3637"/>
      <c r="H68" s="3637">
        <v>0</v>
      </c>
      <c r="I68" s="3638"/>
      <c r="J68" s="3638"/>
      <c r="K68" s="3638"/>
      <c r="L68" s="3638"/>
      <c r="M68" s="3627">
        <f>+E68+I68+J68+K68+L68+N68</f>
        <v>0</v>
      </c>
      <c r="N68" s="3032">
        <v>0</v>
      </c>
      <c r="O68" s="3032">
        <v>7200</v>
      </c>
      <c r="P68" s="3032">
        <v>0</v>
      </c>
      <c r="Q68" s="3032">
        <v>0</v>
      </c>
      <c r="R68" s="3032">
        <v>0</v>
      </c>
      <c r="S68" s="1027">
        <v>0</v>
      </c>
      <c r="T68" s="1027">
        <v>0</v>
      </c>
      <c r="U68" s="1027"/>
      <c r="V68" s="1027"/>
      <c r="W68" s="1027"/>
      <c r="X68" s="4379"/>
      <c r="Y68" s="4414"/>
    </row>
    <row r="69" spans="1:30" s="1942" customFormat="1" ht="12" customHeight="1">
      <c r="A69" s="4117"/>
      <c r="B69" s="3639" t="s">
        <v>30</v>
      </c>
      <c r="C69" s="4375"/>
      <c r="D69" s="3630">
        <f t="shared" si="68"/>
        <v>40800</v>
      </c>
      <c r="E69" s="3630">
        <f t="shared" ref="E69:T69" si="73">E70</f>
        <v>0</v>
      </c>
      <c r="F69" s="3624">
        <f t="shared" si="73"/>
        <v>0</v>
      </c>
      <c r="G69" s="3624">
        <f t="shared" si="73"/>
        <v>0</v>
      </c>
      <c r="H69" s="3624">
        <f t="shared" si="73"/>
        <v>0</v>
      </c>
      <c r="I69" s="3625">
        <f t="shared" si="73"/>
        <v>0</v>
      </c>
      <c r="J69" s="3625">
        <f t="shared" si="73"/>
        <v>0</v>
      </c>
      <c r="K69" s="3625">
        <f t="shared" si="73"/>
        <v>0</v>
      </c>
      <c r="L69" s="3625">
        <f t="shared" si="73"/>
        <v>0</v>
      </c>
      <c r="M69" s="3630">
        <f t="shared" si="73"/>
        <v>0</v>
      </c>
      <c r="N69" s="3630">
        <f t="shared" si="73"/>
        <v>0</v>
      </c>
      <c r="O69" s="3630">
        <f t="shared" si="73"/>
        <v>40800</v>
      </c>
      <c r="P69" s="3630">
        <f t="shared" si="73"/>
        <v>0</v>
      </c>
      <c r="Q69" s="3630">
        <f t="shared" si="73"/>
        <v>0</v>
      </c>
      <c r="R69" s="3630">
        <f t="shared" si="73"/>
        <v>0</v>
      </c>
      <c r="S69" s="3630">
        <f t="shared" si="73"/>
        <v>0</v>
      </c>
      <c r="T69" s="3630">
        <f t="shared" si="73"/>
        <v>0</v>
      </c>
      <c r="U69" s="3630"/>
      <c r="V69" s="3630"/>
      <c r="W69" s="3630"/>
      <c r="X69" s="4379"/>
      <c r="Y69" s="4414"/>
    </row>
    <row r="70" spans="1:30" s="1942" customFormat="1" ht="12" customHeight="1" thickBot="1">
      <c r="A70" s="4118"/>
      <c r="B70" s="2061" t="s">
        <v>33</v>
      </c>
      <c r="C70" s="4353"/>
      <c r="D70" s="800">
        <f>M70+O70+P70+Q70+R70+S70+T70+U70+V70+W70</f>
        <v>40800</v>
      </c>
      <c r="E70" s="796">
        <v>0</v>
      </c>
      <c r="F70" s="2062"/>
      <c r="G70" s="2062"/>
      <c r="H70" s="2062">
        <v>0</v>
      </c>
      <c r="I70" s="2063"/>
      <c r="J70" s="2063"/>
      <c r="K70" s="2063"/>
      <c r="L70" s="2063"/>
      <c r="M70" s="800">
        <f>+E70+I70+J70+K70+L70+N70</f>
        <v>0</v>
      </c>
      <c r="N70" s="797">
        <v>0</v>
      </c>
      <c r="O70" s="797">
        <v>40800</v>
      </c>
      <c r="P70" s="797">
        <v>0</v>
      </c>
      <c r="Q70" s="797">
        <v>0</v>
      </c>
      <c r="R70" s="797">
        <v>0</v>
      </c>
      <c r="S70" s="599">
        <v>0</v>
      </c>
      <c r="T70" s="599">
        <v>0</v>
      </c>
      <c r="U70" s="599"/>
      <c r="V70" s="599"/>
      <c r="W70" s="599"/>
      <c r="X70" s="4380"/>
      <c r="Y70" s="4415"/>
    </row>
    <row r="71" spans="1:30" s="2029" customFormat="1" ht="27" customHeight="1">
      <c r="A71" s="4349" t="s">
        <v>81</v>
      </c>
      <c r="B71" s="1828" t="s">
        <v>386</v>
      </c>
      <c r="C71" s="772" t="s">
        <v>131</v>
      </c>
      <c r="D71" s="837"/>
      <c r="E71" s="2330"/>
      <c r="F71" s="2331"/>
      <c r="G71" s="2331"/>
      <c r="H71" s="2332"/>
      <c r="I71" s="2333"/>
      <c r="J71" s="2333"/>
      <c r="K71" s="2333"/>
      <c r="L71" s="2333"/>
      <c r="M71" s="2330"/>
      <c r="N71" s="2330"/>
      <c r="O71" s="2330"/>
      <c r="P71" s="2330"/>
      <c r="Q71" s="835"/>
      <c r="R71" s="835"/>
      <c r="S71" s="835"/>
      <c r="T71" s="835"/>
      <c r="U71" s="835"/>
      <c r="V71" s="835"/>
      <c r="W71" s="1246"/>
      <c r="X71" s="2068"/>
      <c r="Y71" s="4432" t="s">
        <v>393</v>
      </c>
      <c r="Z71" s="2069"/>
      <c r="AA71" s="2070"/>
      <c r="AB71" s="2037"/>
    </row>
    <row r="72" spans="1:30" s="2029" customFormat="1" ht="12" customHeight="1">
      <c r="A72" s="4350"/>
      <c r="B72" s="1822" t="s">
        <v>22</v>
      </c>
      <c r="C72" s="798"/>
      <c r="D72" s="2039">
        <f>+D73</f>
        <v>128717364</v>
      </c>
      <c r="E72" s="2039">
        <f t="shared" ref="E72:X73" si="74">+E73</f>
        <v>10748789</v>
      </c>
      <c r="F72" s="2040">
        <f t="shared" si="74"/>
        <v>1463345</v>
      </c>
      <c r="G72" s="2040">
        <f t="shared" si="74"/>
        <v>2764519</v>
      </c>
      <c r="H72" s="2040">
        <f t="shared" si="74"/>
        <v>6520925</v>
      </c>
      <c r="I72" s="2041">
        <f t="shared" si="74"/>
        <v>22033262</v>
      </c>
      <c r="J72" s="2041">
        <f t="shared" si="74"/>
        <v>13729802</v>
      </c>
      <c r="K72" s="2041">
        <f t="shared" si="74"/>
        <v>17985056</v>
      </c>
      <c r="L72" s="2041">
        <f t="shared" si="74"/>
        <v>18729247</v>
      </c>
      <c r="M72" s="2039">
        <f t="shared" si="74"/>
        <v>107640354</v>
      </c>
      <c r="N72" s="2039">
        <f t="shared" si="74"/>
        <v>24414198</v>
      </c>
      <c r="O72" s="2039">
        <f t="shared" si="74"/>
        <v>21077010</v>
      </c>
      <c r="P72" s="2039">
        <f t="shared" si="74"/>
        <v>0</v>
      </c>
      <c r="Q72" s="2039">
        <f t="shared" si="74"/>
        <v>0</v>
      </c>
      <c r="R72" s="2039">
        <f t="shared" si="74"/>
        <v>0</v>
      </c>
      <c r="S72" s="2039">
        <f t="shared" si="74"/>
        <v>0</v>
      </c>
      <c r="T72" s="2039">
        <f t="shared" si="74"/>
        <v>0</v>
      </c>
      <c r="U72" s="2039"/>
      <c r="V72" s="2039"/>
      <c r="W72" s="2039"/>
      <c r="X72" s="2071">
        <f>+X73</f>
        <v>0</v>
      </c>
      <c r="Y72" s="4447"/>
      <c r="Z72" s="2004"/>
      <c r="AA72" s="2070"/>
    </row>
    <row r="73" spans="1:30" s="2029" customFormat="1" ht="12.75" customHeight="1">
      <c r="A73" s="4350"/>
      <c r="B73" s="1851" t="s">
        <v>30</v>
      </c>
      <c r="C73" s="4431" t="s">
        <v>214</v>
      </c>
      <c r="D73" s="2247">
        <f>+D74</f>
        <v>128717364</v>
      </c>
      <c r="E73" s="2247">
        <f t="shared" si="74"/>
        <v>10748789</v>
      </c>
      <c r="F73" s="2248">
        <f t="shared" si="74"/>
        <v>1463345</v>
      </c>
      <c r="G73" s="2248">
        <f t="shared" si="74"/>
        <v>2764519</v>
      </c>
      <c r="H73" s="2248">
        <f t="shared" si="74"/>
        <v>6520925</v>
      </c>
      <c r="I73" s="2249">
        <f t="shared" si="74"/>
        <v>22033262</v>
      </c>
      <c r="J73" s="2249">
        <f t="shared" si="74"/>
        <v>13729802</v>
      </c>
      <c r="K73" s="2249">
        <f>+K74</f>
        <v>17985056</v>
      </c>
      <c r="L73" s="2249">
        <f t="shared" si="74"/>
        <v>18729247</v>
      </c>
      <c r="M73" s="2247">
        <f t="shared" si="74"/>
        <v>107640354</v>
      </c>
      <c r="N73" s="2247">
        <f t="shared" si="74"/>
        <v>24414198</v>
      </c>
      <c r="O73" s="2247">
        <f t="shared" si="74"/>
        <v>21077010</v>
      </c>
      <c r="P73" s="2052">
        <f>+P74</f>
        <v>0</v>
      </c>
      <c r="Q73" s="2052">
        <f>+Q74</f>
        <v>0</v>
      </c>
      <c r="R73" s="2067">
        <f t="shared" si="74"/>
        <v>0</v>
      </c>
      <c r="S73" s="2067">
        <f t="shared" si="74"/>
        <v>0</v>
      </c>
      <c r="T73" s="2067">
        <f t="shared" si="74"/>
        <v>0</v>
      </c>
      <c r="U73" s="2067"/>
      <c r="V73" s="2067"/>
      <c r="W73" s="2067"/>
      <c r="X73" s="2072">
        <f t="shared" si="74"/>
        <v>0</v>
      </c>
      <c r="Y73" s="4447"/>
      <c r="Z73" s="2073"/>
      <c r="AA73" s="2070"/>
    </row>
    <row r="74" spans="1:30" s="1419" customFormat="1" ht="13.5" thickBot="1">
      <c r="A74" s="4350"/>
      <c r="B74" s="2754" t="s">
        <v>33</v>
      </c>
      <c r="C74" s="4352"/>
      <c r="D74" s="2239">
        <f>M74+O74+P74+Q74+R74+S74+T74+U74+V74+W74</f>
        <v>128717364</v>
      </c>
      <c r="E74" s="2764">
        <f>SUM(E76:E79)</f>
        <v>10748789</v>
      </c>
      <c r="F74" s="2252">
        <f>1463345</f>
        <v>1463345</v>
      </c>
      <c r="G74" s="2252">
        <f>2267781+496738</f>
        <v>2764519</v>
      </c>
      <c r="H74" s="2252">
        <f>5538393+1116809-134277</f>
        <v>6520925</v>
      </c>
      <c r="I74" s="2765">
        <f t="shared" ref="I74:O74" si="75">SUM(I76:I79)</f>
        <v>22033262</v>
      </c>
      <c r="J74" s="2765">
        <f t="shared" si="75"/>
        <v>13729802</v>
      </c>
      <c r="K74" s="2765">
        <f>SUM(K76:K79)</f>
        <v>17985056</v>
      </c>
      <c r="L74" s="2765">
        <f t="shared" si="75"/>
        <v>18729247</v>
      </c>
      <c r="M74" s="2239">
        <f>+E74+I74+J74+K74+L74+N74</f>
        <v>107640354</v>
      </c>
      <c r="N74" s="2764">
        <f t="shared" si="75"/>
        <v>24414198</v>
      </c>
      <c r="O74" s="2764">
        <f t="shared" si="75"/>
        <v>21077010</v>
      </c>
      <c r="P74" s="2077">
        <v>0</v>
      </c>
      <c r="Q74" s="2077">
        <v>0</v>
      </c>
      <c r="R74" s="652">
        <v>0</v>
      </c>
      <c r="S74" s="652">
        <v>0</v>
      </c>
      <c r="T74" s="652">
        <v>0</v>
      </c>
      <c r="U74" s="652"/>
      <c r="V74" s="652"/>
      <c r="W74" s="652"/>
      <c r="X74" s="2016">
        <f>SUM(P74:T74)</f>
        <v>0</v>
      </c>
      <c r="Y74" s="4447"/>
      <c r="Z74" s="2078"/>
      <c r="AA74" s="2079"/>
      <c r="AD74" s="2080"/>
    </row>
    <row r="75" spans="1:30" s="1942" customFormat="1" hidden="1">
      <c r="A75" s="4350"/>
      <c r="B75" s="2755" t="s">
        <v>216</v>
      </c>
      <c r="C75" s="2081"/>
      <c r="D75" s="2082"/>
      <c r="E75" s="2083"/>
      <c r="F75" s="2084"/>
      <c r="G75" s="2084"/>
      <c r="H75" s="2084"/>
      <c r="I75" s="2085"/>
      <c r="J75" s="2085"/>
      <c r="K75" s="2085"/>
      <c r="L75" s="2085"/>
      <c r="M75" s="2083"/>
      <c r="N75" s="2083"/>
      <c r="O75" s="2083"/>
      <c r="P75" s="2086"/>
      <c r="Q75" s="2086"/>
      <c r="R75" s="2086"/>
      <c r="S75" s="2086"/>
      <c r="T75" s="2086"/>
      <c r="U75" s="2086"/>
      <c r="V75" s="2086"/>
      <c r="W75" s="2086"/>
      <c r="X75" s="2087"/>
      <c r="Y75" s="4447"/>
      <c r="Z75" s="2073"/>
      <c r="AA75" s="2070"/>
      <c r="AD75" s="804"/>
    </row>
    <row r="76" spans="1:30" s="1942" customFormat="1" hidden="1">
      <c r="A76" s="4350"/>
      <c r="B76" s="2756" t="s">
        <v>217</v>
      </c>
      <c r="C76" s="2088"/>
      <c r="D76" s="2763">
        <f>+E76+I76+J76+K76+L76+N76+O76+P76+Q76+R76+S76+T76</f>
        <v>105212464</v>
      </c>
      <c r="E76" s="2089">
        <v>7761842</v>
      </c>
      <c r="F76" s="2090"/>
      <c r="G76" s="2090"/>
      <c r="H76" s="2090"/>
      <c r="I76" s="2091">
        <v>20160098</v>
      </c>
      <c r="J76" s="2091">
        <v>12413144</v>
      </c>
      <c r="K76" s="2091">
        <v>14822530</v>
      </c>
      <c r="L76" s="2091">
        <v>15311083</v>
      </c>
      <c r="M76" s="2761">
        <f>+E76+I76+J76+K76+L76+N76</f>
        <v>90799277</v>
      </c>
      <c r="N76" s="2089">
        <f>14678110-260000+881506-337305+1149078-249190+285318+608505+594424+627780-1531032+1032257+2851129</f>
        <v>20330580</v>
      </c>
      <c r="O76" s="2761">
        <f>3320902+260000-260000-570000+200000+1974393+46079+1055175+1301357+993906+1319115+60996-400000+1417576+89945+623046+369471+2611226</f>
        <v>14413187</v>
      </c>
      <c r="P76" s="2089"/>
      <c r="Q76" s="2089"/>
      <c r="R76" s="2089"/>
      <c r="S76" s="2089"/>
      <c r="T76" s="2089"/>
      <c r="U76" s="2089"/>
      <c r="V76" s="2089"/>
      <c r="W76" s="2089"/>
      <c r="X76" s="2092"/>
      <c r="Y76" s="4447"/>
      <c r="Z76" s="2073"/>
      <c r="AA76" s="2070"/>
      <c r="AD76" s="804"/>
    </row>
    <row r="77" spans="1:30" s="1942" customFormat="1" hidden="1">
      <c r="A77" s="4350"/>
      <c r="B77" s="2757" t="s">
        <v>218</v>
      </c>
      <c r="C77" s="2088"/>
      <c r="D77" s="2424">
        <f>+E77+I77+J77+K77+L77+N77+O77+P77+Q77+R77+S77+T77</f>
        <v>14550780</v>
      </c>
      <c r="E77" s="2089">
        <v>2986947</v>
      </c>
      <c r="F77" s="2090"/>
      <c r="G77" s="2090"/>
      <c r="H77" s="2090"/>
      <c r="I77" s="2091">
        <v>1873164</v>
      </c>
      <c r="J77" s="2091">
        <v>1316658</v>
      </c>
      <c r="K77" s="2091">
        <v>1848829</v>
      </c>
      <c r="L77" s="2091">
        <v>2192768</v>
      </c>
      <c r="M77" s="2089">
        <f>+E77+I77+J77+K77+L77+N77</f>
        <v>12606258</v>
      </c>
      <c r="N77" s="2089">
        <f>3314900-726000-80000-121008</f>
        <v>2387892</v>
      </c>
      <c r="O77" s="2761">
        <f>2758198+93402-591532+5249+3027-323822</f>
        <v>1944522</v>
      </c>
      <c r="P77" s="2089"/>
      <c r="Q77" s="2089"/>
      <c r="R77" s="2089"/>
      <c r="S77" s="2089"/>
      <c r="T77" s="2089"/>
      <c r="U77" s="2089"/>
      <c r="V77" s="2089"/>
      <c r="W77" s="2089"/>
      <c r="X77" s="2092"/>
      <c r="Y77" s="4447"/>
      <c r="Z77" s="2073"/>
      <c r="AA77" s="2070"/>
      <c r="AD77" s="804"/>
    </row>
    <row r="78" spans="1:30" s="2096" customFormat="1" hidden="1">
      <c r="A78" s="4350"/>
      <c r="B78" s="2757" t="s">
        <v>219</v>
      </c>
      <c r="C78" s="2088"/>
      <c r="D78" s="2424">
        <f>+E78+I78+J78+K78+L78+N78+O78+P78+Q78+R78+S78+T78</f>
        <v>6872922</v>
      </c>
      <c r="E78" s="2089"/>
      <c r="F78" s="2090"/>
      <c r="G78" s="2090"/>
      <c r="H78" s="2090"/>
      <c r="I78" s="2091"/>
      <c r="J78" s="2091"/>
      <c r="K78" s="2094">
        <f>4319492-3005795</f>
        <v>1313697</v>
      </c>
      <c r="L78" s="2094">
        <f>1243854-18458</f>
        <v>1225396</v>
      </c>
      <c r="M78" s="2089">
        <f>+E78+I78+J78+K78+L78+N78</f>
        <v>4234819</v>
      </c>
      <c r="N78" s="2095">
        <f>12045937-1112974-3788551-881506-1149078-285318-608505-594424-627780-1302075</f>
        <v>1695726</v>
      </c>
      <c r="O78" s="2762">
        <f>10914887+2830045+1851252+226389-1974393-1055175-1301357-993906-1319115-60996-209462-900000-1417576-89945-623046-369471-2870028</f>
        <v>2638103</v>
      </c>
      <c r="P78" s="2089"/>
      <c r="Q78" s="2089"/>
      <c r="R78" s="2089"/>
      <c r="S78" s="2089"/>
      <c r="T78" s="2089"/>
      <c r="U78" s="2089"/>
      <c r="V78" s="2089"/>
      <c r="W78" s="2089"/>
      <c r="X78" s="2092"/>
      <c r="Y78" s="4447"/>
      <c r="Z78" s="2073"/>
      <c r="AA78" s="2070"/>
      <c r="AD78" s="2097"/>
    </row>
    <row r="79" spans="1:30" s="2096" customFormat="1" hidden="1">
      <c r="A79" s="4350"/>
      <c r="B79" s="2412" t="s">
        <v>220</v>
      </c>
      <c r="C79" s="2088"/>
      <c r="D79" s="2424">
        <f>+E79+I79+J79+K79+L79+N79+O79+P79+Q79+R79+S79+T79</f>
        <v>2081198</v>
      </c>
      <c r="E79" s="2089"/>
      <c r="F79" s="2090"/>
      <c r="G79" s="2090"/>
      <c r="H79" s="2090"/>
      <c r="I79" s="2091"/>
      <c r="J79" s="2091"/>
      <c r="K79" s="2094"/>
      <c r="L79" s="2094"/>
      <c r="M79" s="2089">
        <f>+E79+I79+J79+K79+L79+N79</f>
        <v>0</v>
      </c>
      <c r="N79" s="2095"/>
      <c r="O79" s="2762">
        <f>1590000+600000-108802</f>
        <v>2081198</v>
      </c>
      <c r="P79" s="2089"/>
      <c r="Q79" s="2089"/>
      <c r="R79" s="2089"/>
      <c r="S79" s="2089"/>
      <c r="T79" s="2089"/>
      <c r="U79" s="2089"/>
      <c r="V79" s="2089"/>
      <c r="W79" s="2089"/>
      <c r="X79" s="2092"/>
      <c r="Y79" s="4447"/>
      <c r="Z79" s="2073"/>
      <c r="AA79" s="2070"/>
      <c r="AD79" s="2097"/>
    </row>
    <row r="80" spans="1:30" s="1942" customFormat="1">
      <c r="A80" s="4117"/>
      <c r="B80" s="1868" t="s">
        <v>34</v>
      </c>
      <c r="C80" s="799"/>
      <c r="D80" s="841">
        <f>+D81</f>
        <v>128717364</v>
      </c>
      <c r="E80" s="841">
        <f t="shared" ref="E80:T80" si="76">+E81</f>
        <v>10739103</v>
      </c>
      <c r="F80" s="2098">
        <f t="shared" si="76"/>
        <v>0</v>
      </c>
      <c r="G80" s="2098">
        <f t="shared" si="76"/>
        <v>2563346</v>
      </c>
      <c r="H80" s="2098">
        <f t="shared" si="76"/>
        <v>8175757</v>
      </c>
      <c r="I80" s="2099">
        <f t="shared" si="76"/>
        <v>22042948</v>
      </c>
      <c r="J80" s="2099">
        <f t="shared" si="76"/>
        <v>13729802</v>
      </c>
      <c r="K80" s="2099">
        <f t="shared" si="76"/>
        <v>17985056</v>
      </c>
      <c r="L80" s="2099">
        <f t="shared" si="76"/>
        <v>18514446</v>
      </c>
      <c r="M80" s="841">
        <f t="shared" si="76"/>
        <v>104358469</v>
      </c>
      <c r="N80" s="841">
        <f t="shared" si="76"/>
        <v>21347114</v>
      </c>
      <c r="O80" s="841">
        <f t="shared" si="76"/>
        <v>19832642</v>
      </c>
      <c r="P80" s="841">
        <f t="shared" si="76"/>
        <v>4526253</v>
      </c>
      <c r="Q80" s="841">
        <f t="shared" si="76"/>
        <v>0</v>
      </c>
      <c r="R80" s="841">
        <f t="shared" si="76"/>
        <v>0</v>
      </c>
      <c r="S80" s="2065">
        <f t="shared" si="76"/>
        <v>0</v>
      </c>
      <c r="T80" s="2065">
        <f t="shared" si="76"/>
        <v>0</v>
      </c>
      <c r="U80" s="2065"/>
      <c r="V80" s="2065"/>
      <c r="W80" s="2065"/>
      <c r="X80" s="4419" t="s">
        <v>77</v>
      </c>
      <c r="Y80" s="4447"/>
      <c r="Z80" s="2073"/>
      <c r="AA80" s="2070"/>
    </row>
    <row r="81" spans="1:27" s="1942" customFormat="1">
      <c r="A81" s="4117"/>
      <c r="B81" s="2260" t="s">
        <v>30</v>
      </c>
      <c r="C81" s="4431" t="s">
        <v>102</v>
      </c>
      <c r="D81" s="2052">
        <f t="shared" ref="D81:T81" si="77">+D82</f>
        <v>128717364</v>
      </c>
      <c r="E81" s="2052">
        <f t="shared" si="77"/>
        <v>10739103</v>
      </c>
      <c r="F81" s="2044">
        <f t="shared" si="77"/>
        <v>0</v>
      </c>
      <c r="G81" s="2044">
        <f t="shared" si="77"/>
        <v>2563346</v>
      </c>
      <c r="H81" s="2044">
        <f t="shared" si="77"/>
        <v>8175757</v>
      </c>
      <c r="I81" s="2045">
        <f t="shared" si="77"/>
        <v>22042948</v>
      </c>
      <c r="J81" s="2045">
        <f t="shared" si="77"/>
        <v>13729802</v>
      </c>
      <c r="K81" s="2045">
        <f t="shared" si="77"/>
        <v>17985056</v>
      </c>
      <c r="L81" s="2045">
        <f t="shared" si="77"/>
        <v>18514446</v>
      </c>
      <c r="M81" s="2052">
        <f t="shared" si="77"/>
        <v>104358469</v>
      </c>
      <c r="N81" s="2052">
        <f t="shared" si="77"/>
        <v>21347114</v>
      </c>
      <c r="O81" s="2052">
        <f t="shared" si="77"/>
        <v>19832642</v>
      </c>
      <c r="P81" s="2052">
        <f t="shared" si="77"/>
        <v>4526253</v>
      </c>
      <c r="Q81" s="2067">
        <f t="shared" si="77"/>
        <v>0</v>
      </c>
      <c r="R81" s="2067">
        <f t="shared" si="77"/>
        <v>0</v>
      </c>
      <c r="S81" s="2067">
        <f t="shared" si="77"/>
        <v>0</v>
      </c>
      <c r="T81" s="2067">
        <f t="shared" si="77"/>
        <v>0</v>
      </c>
      <c r="U81" s="2067"/>
      <c r="V81" s="2067"/>
      <c r="W81" s="2067"/>
      <c r="X81" s="4379"/>
      <c r="Y81" s="4447"/>
      <c r="Z81" s="2073"/>
      <c r="AA81" s="2070"/>
    </row>
    <row r="82" spans="1:27" s="1942" customFormat="1" ht="12" customHeight="1" thickBot="1">
      <c r="A82" s="4118"/>
      <c r="B82" s="2261" t="s">
        <v>33</v>
      </c>
      <c r="C82" s="4353"/>
      <c r="D82" s="2239">
        <f>M82+O82+P82+Q82+R82+S82+T82+U82+V82+W82</f>
        <v>128717364</v>
      </c>
      <c r="E82" s="797">
        <v>10739103</v>
      </c>
      <c r="F82" s="2062">
        <v>0</v>
      </c>
      <c r="G82" s="2062">
        <v>2563346</v>
      </c>
      <c r="H82" s="2062">
        <f>8310034-134277</f>
        <v>8175757</v>
      </c>
      <c r="I82" s="2063">
        <f>22435406-222967+222967-I92</f>
        <v>22042948</v>
      </c>
      <c r="J82" s="2063">
        <f>15950000-124500-184890-1558717-352091</f>
        <v>13729802</v>
      </c>
      <c r="K82" s="2063">
        <f>21399162-162-8000000+5555916-165860-694115-109885</f>
        <v>17985056</v>
      </c>
      <c r="L82" s="2063">
        <f>21399162-162+8601000-300000-10000000-970753-214801</f>
        <v>18514446</v>
      </c>
      <c r="M82" s="2049">
        <f>+E82+I82+J82+K82+L82+N82</f>
        <v>104358469</v>
      </c>
      <c r="N82" s="797">
        <f>21399162-6440572+7041410-64422+3000000-185578-250000-3000000-329190+176304</f>
        <v>21347114</v>
      </c>
      <c r="O82" s="1829">
        <f>15083090+184890+5107020-222967-5555916-54705-2305885+7854705+941388+1425580+750800-1161532+200000+5249+46079-98604-2366550</f>
        <v>19832642</v>
      </c>
      <c r="P82" s="1829">
        <v>4526253</v>
      </c>
      <c r="Q82" s="797">
        <v>0</v>
      </c>
      <c r="R82" s="797">
        <v>0</v>
      </c>
      <c r="S82" s="797">
        <v>0</v>
      </c>
      <c r="T82" s="797">
        <v>0</v>
      </c>
      <c r="U82" s="797"/>
      <c r="V82" s="797"/>
      <c r="W82" s="797"/>
      <c r="X82" s="4380"/>
      <c r="Y82" s="4448"/>
      <c r="Z82" s="2004"/>
      <c r="AA82" s="2004"/>
    </row>
    <row r="83" spans="1:27" s="1942" customFormat="1" ht="25.5" customHeight="1">
      <c r="A83" s="4349" t="s">
        <v>82</v>
      </c>
      <c r="B83" s="1828" t="s">
        <v>221</v>
      </c>
      <c r="C83" s="772" t="s">
        <v>98</v>
      </c>
      <c r="D83" s="2329"/>
      <c r="E83" s="2323"/>
      <c r="F83" s="2324"/>
      <c r="G83" s="2324"/>
      <c r="H83" s="2325"/>
      <c r="I83" s="2326"/>
      <c r="J83" s="2327"/>
      <c r="K83" s="2326"/>
      <c r="L83" s="2326"/>
      <c r="M83" s="2322"/>
      <c r="N83" s="2322"/>
      <c r="O83" s="2322"/>
      <c r="P83" s="2323"/>
      <c r="Q83" s="2323"/>
      <c r="R83" s="2323"/>
      <c r="S83" s="2323"/>
      <c r="T83" s="2323"/>
      <c r="U83" s="2323"/>
      <c r="V83" s="2323"/>
      <c r="W83" s="2328"/>
      <c r="X83" s="2068"/>
      <c r="Y83" s="4432" t="s">
        <v>222</v>
      </c>
      <c r="Z83" s="2004"/>
    </row>
    <row r="84" spans="1:27" s="1942" customFormat="1" ht="13.5" customHeight="1">
      <c r="A84" s="4350"/>
      <c r="B84" s="1822" t="s">
        <v>22</v>
      </c>
      <c r="C84" s="798"/>
      <c r="D84" s="2039">
        <f>+D85</f>
        <v>3436388</v>
      </c>
      <c r="E84" s="2039">
        <f t="shared" ref="E84:X85" si="78">+E85</f>
        <v>134277</v>
      </c>
      <c r="F84" s="2040">
        <f t="shared" si="78"/>
        <v>0</v>
      </c>
      <c r="G84" s="2040">
        <f t="shared" si="78"/>
        <v>0</v>
      </c>
      <c r="H84" s="2040">
        <f t="shared" si="78"/>
        <v>134277</v>
      </c>
      <c r="I84" s="2041">
        <f t="shared" si="78"/>
        <v>392458</v>
      </c>
      <c r="J84" s="2041">
        <f t="shared" si="78"/>
        <v>352091</v>
      </c>
      <c r="K84" s="2041">
        <f t="shared" si="78"/>
        <v>275745</v>
      </c>
      <c r="L84" s="2041">
        <f t="shared" si="78"/>
        <v>114180</v>
      </c>
      <c r="M84" s="2039">
        <f t="shared" si="78"/>
        <v>1694176</v>
      </c>
      <c r="N84" s="2039">
        <f t="shared" si="78"/>
        <v>425425</v>
      </c>
      <c r="O84" s="2039">
        <f t="shared" si="78"/>
        <v>1742212</v>
      </c>
      <c r="P84" s="2039">
        <f t="shared" si="78"/>
        <v>0</v>
      </c>
      <c r="Q84" s="2039">
        <f t="shared" si="78"/>
        <v>0</v>
      </c>
      <c r="R84" s="2039">
        <f t="shared" si="78"/>
        <v>0</v>
      </c>
      <c r="S84" s="2039">
        <f t="shared" si="78"/>
        <v>0</v>
      </c>
      <c r="T84" s="2039">
        <f t="shared" si="78"/>
        <v>0</v>
      </c>
      <c r="U84" s="2039"/>
      <c r="V84" s="2039"/>
      <c r="W84" s="2039"/>
      <c r="X84" s="2071">
        <f>+X85</f>
        <v>0</v>
      </c>
      <c r="Y84" s="4433"/>
      <c r="Z84" s="2004"/>
    </row>
    <row r="85" spans="1:27" s="1942" customFormat="1" ht="13.5" customHeight="1">
      <c r="A85" s="4350"/>
      <c r="B85" s="1851" t="s">
        <v>30</v>
      </c>
      <c r="C85" s="4431" t="s">
        <v>214</v>
      </c>
      <c r="D85" s="2052">
        <f>+D86</f>
        <v>3436388</v>
      </c>
      <c r="E85" s="2052">
        <f t="shared" si="78"/>
        <v>134277</v>
      </c>
      <c r="F85" s="2044">
        <f t="shared" si="78"/>
        <v>0</v>
      </c>
      <c r="G85" s="2044">
        <f t="shared" si="78"/>
        <v>0</v>
      </c>
      <c r="H85" s="2044">
        <f t="shared" si="78"/>
        <v>134277</v>
      </c>
      <c r="I85" s="2045">
        <f t="shared" si="78"/>
        <v>392458</v>
      </c>
      <c r="J85" s="2045">
        <f t="shared" si="78"/>
        <v>352091</v>
      </c>
      <c r="K85" s="2045">
        <f t="shared" si="78"/>
        <v>275745</v>
      </c>
      <c r="L85" s="2045">
        <f t="shared" si="78"/>
        <v>114180</v>
      </c>
      <c r="M85" s="2052">
        <f t="shared" si="78"/>
        <v>1694176</v>
      </c>
      <c r="N85" s="2052">
        <f t="shared" si="78"/>
        <v>425425</v>
      </c>
      <c r="O85" s="2067">
        <f t="shared" si="78"/>
        <v>1742212</v>
      </c>
      <c r="P85" s="2067">
        <f>+P86</f>
        <v>0</v>
      </c>
      <c r="Q85" s="2067">
        <f t="shared" si="78"/>
        <v>0</v>
      </c>
      <c r="R85" s="2067">
        <f t="shared" si="78"/>
        <v>0</v>
      </c>
      <c r="S85" s="2067">
        <f t="shared" si="78"/>
        <v>0</v>
      </c>
      <c r="T85" s="2067">
        <f t="shared" si="78"/>
        <v>0</v>
      </c>
      <c r="U85" s="2067"/>
      <c r="V85" s="2067"/>
      <c r="W85" s="2067"/>
      <c r="X85" s="2072">
        <f t="shared" si="78"/>
        <v>0</v>
      </c>
      <c r="Y85" s="4433"/>
      <c r="Z85" s="2004"/>
    </row>
    <row r="86" spans="1:27" s="1942" customFormat="1">
      <c r="A86" s="4350"/>
      <c r="B86" s="2754" t="s">
        <v>33</v>
      </c>
      <c r="C86" s="4352"/>
      <c r="D86" s="2239">
        <f>M86+O86+P86+Q86+R86+S86+T86+U86+V86+W86</f>
        <v>3436388</v>
      </c>
      <c r="E86" s="2057">
        <f>SUM(E88:E89)</f>
        <v>134277</v>
      </c>
      <c r="F86" s="2076"/>
      <c r="G86" s="2076"/>
      <c r="H86" s="2076">
        <v>134277</v>
      </c>
      <c r="I86" s="2059">
        <f t="shared" ref="I86:O86" si="79">SUM(I88:I89)</f>
        <v>392458</v>
      </c>
      <c r="J86" s="2059">
        <f t="shared" si="79"/>
        <v>352091</v>
      </c>
      <c r="K86" s="2059">
        <f t="shared" si="79"/>
        <v>275745</v>
      </c>
      <c r="L86" s="2059">
        <f t="shared" si="79"/>
        <v>114180</v>
      </c>
      <c r="M86" s="2049">
        <f>+E86+I86+J86+K86+L86+N86</f>
        <v>1694176</v>
      </c>
      <c r="N86" s="2057">
        <f t="shared" si="79"/>
        <v>425425</v>
      </c>
      <c r="O86" s="2057">
        <f t="shared" si="79"/>
        <v>1742212</v>
      </c>
      <c r="P86" s="2057">
        <v>0</v>
      </c>
      <c r="Q86" s="2057"/>
      <c r="R86" s="2057"/>
      <c r="S86" s="2057"/>
      <c r="T86" s="2057"/>
      <c r="U86" s="2057"/>
      <c r="V86" s="2057"/>
      <c r="W86" s="2057"/>
      <c r="X86" s="2016">
        <f>SUM(P86:T86)</f>
        <v>0</v>
      </c>
      <c r="Y86" s="4433"/>
      <c r="Z86" s="2004"/>
    </row>
    <row r="87" spans="1:27" s="1942" customFormat="1" ht="12.75" hidden="1" customHeight="1">
      <c r="A87" s="4350"/>
      <c r="B87" s="2758" t="s">
        <v>216</v>
      </c>
      <c r="C87" s="2081"/>
      <c r="D87" s="2082"/>
      <c r="E87" s="2083"/>
      <c r="F87" s="2084"/>
      <c r="G87" s="2084"/>
      <c r="H87" s="2084"/>
      <c r="I87" s="2085"/>
      <c r="J87" s="2085"/>
      <c r="K87" s="2085"/>
      <c r="L87" s="2085"/>
      <c r="M87" s="2083"/>
      <c r="N87" s="2083"/>
      <c r="O87" s="2083"/>
      <c r="P87" s="2083"/>
      <c r="Q87" s="2083"/>
      <c r="R87" s="2083"/>
      <c r="S87" s="2083"/>
      <c r="T87" s="2083"/>
      <c r="U87" s="2083"/>
      <c r="V87" s="2083"/>
      <c r="W87" s="2083"/>
      <c r="X87" s="2087"/>
      <c r="Y87" s="4433"/>
      <c r="Z87" s="2004"/>
    </row>
    <row r="88" spans="1:27" s="1942" customFormat="1" ht="12.75" hidden="1" customHeight="1">
      <c r="A88" s="4350"/>
      <c r="B88" s="2759" t="s">
        <v>217</v>
      </c>
      <c r="C88" s="1941"/>
      <c r="D88" s="2763">
        <f>+E88+I88+J88+K88+L88+N88+O88+P88+Q88+R88+S88+T88</f>
        <v>2345041</v>
      </c>
      <c r="E88" s="2089">
        <v>44332</v>
      </c>
      <c r="F88" s="2090"/>
      <c r="G88" s="2090"/>
      <c r="H88" s="2090"/>
      <c r="I88" s="2091">
        <v>197255</v>
      </c>
      <c r="J88" s="2091">
        <v>256166</v>
      </c>
      <c r="K88" s="2091">
        <v>209885</v>
      </c>
      <c r="L88" s="2091">
        <v>113582</v>
      </c>
      <c r="M88" s="2089">
        <f>+E88+I88+J88+K88+L88</f>
        <v>821220</v>
      </c>
      <c r="N88" s="2089">
        <f>250000+260000-114665-7443</f>
        <v>387892</v>
      </c>
      <c r="O88" s="2761">
        <f>436598-260000+260000+570000-200000-46079+400000-24590</f>
        <v>1135929</v>
      </c>
      <c r="P88" s="2089"/>
      <c r="Q88" s="2089"/>
      <c r="R88" s="2089"/>
      <c r="S88" s="2089"/>
      <c r="T88" s="2089"/>
      <c r="U88" s="2089"/>
      <c r="V88" s="2089"/>
      <c r="W88" s="2089"/>
      <c r="X88" s="2092"/>
      <c r="Y88" s="4433"/>
      <c r="Z88" s="2004"/>
    </row>
    <row r="89" spans="1:27" s="1942" customFormat="1" ht="12.75" hidden="1" customHeight="1">
      <c r="A89" s="4350"/>
      <c r="B89" s="2760" t="s">
        <v>218</v>
      </c>
      <c r="C89" s="1941"/>
      <c r="D89" s="2093">
        <f>+E89+I89+J89+K89+L89+N89+O89+P89+Q89+R89+S89+T89</f>
        <v>1091347</v>
      </c>
      <c r="E89" s="2089">
        <v>89945</v>
      </c>
      <c r="F89" s="2090"/>
      <c r="G89" s="2090"/>
      <c r="H89" s="2090"/>
      <c r="I89" s="2091">
        <v>195203</v>
      </c>
      <c r="J89" s="2091">
        <v>95925</v>
      </c>
      <c r="K89" s="2091">
        <v>65860</v>
      </c>
      <c r="L89" s="2091">
        <v>598</v>
      </c>
      <c r="M89" s="2089">
        <f>+E89+I89+J89+K89+L89</f>
        <v>447531</v>
      </c>
      <c r="N89" s="2089">
        <f>250000-212467</f>
        <v>37533</v>
      </c>
      <c r="O89" s="2089">
        <f>113402-93402+591532-5249</f>
        <v>606283</v>
      </c>
      <c r="P89" s="2089"/>
      <c r="Q89" s="2089"/>
      <c r="R89" s="2089"/>
      <c r="S89" s="2089"/>
      <c r="T89" s="2089"/>
      <c r="U89" s="2089"/>
      <c r="V89" s="2089"/>
      <c r="W89" s="2089"/>
      <c r="X89" s="2092"/>
      <c r="Y89" s="4433"/>
      <c r="Z89" s="2004"/>
    </row>
    <row r="90" spans="1:27" s="1942" customFormat="1">
      <c r="A90" s="4350"/>
      <c r="B90" s="1868" t="s">
        <v>34</v>
      </c>
      <c r="C90" s="799"/>
      <c r="D90" s="841">
        <f>+D91</f>
        <v>3436388</v>
      </c>
      <c r="E90" s="841">
        <f t="shared" ref="E90:T90" si="80">+E91</f>
        <v>134277</v>
      </c>
      <c r="F90" s="2098">
        <f t="shared" si="80"/>
        <v>0</v>
      </c>
      <c r="G90" s="2098">
        <f t="shared" si="80"/>
        <v>0</v>
      </c>
      <c r="H90" s="2098">
        <f t="shared" si="80"/>
        <v>134277</v>
      </c>
      <c r="I90" s="2099">
        <f t="shared" si="80"/>
        <v>392458</v>
      </c>
      <c r="J90" s="2099">
        <f t="shared" si="80"/>
        <v>352091</v>
      </c>
      <c r="K90" s="2099">
        <f t="shared" si="80"/>
        <v>275745</v>
      </c>
      <c r="L90" s="2099">
        <f t="shared" si="80"/>
        <v>72716</v>
      </c>
      <c r="M90" s="841">
        <f t="shared" si="80"/>
        <v>1312119</v>
      </c>
      <c r="N90" s="841">
        <f t="shared" si="80"/>
        <v>84832</v>
      </c>
      <c r="O90" s="841">
        <f t="shared" si="80"/>
        <v>1562359</v>
      </c>
      <c r="P90" s="841">
        <f t="shared" si="80"/>
        <v>561910</v>
      </c>
      <c r="Q90" s="841">
        <f t="shared" si="80"/>
        <v>0</v>
      </c>
      <c r="R90" s="841">
        <f t="shared" si="80"/>
        <v>0</v>
      </c>
      <c r="S90" s="841">
        <f t="shared" si="80"/>
        <v>0</v>
      </c>
      <c r="T90" s="841">
        <f t="shared" si="80"/>
        <v>0</v>
      </c>
      <c r="U90" s="841"/>
      <c r="V90" s="841"/>
      <c r="W90" s="841"/>
      <c r="X90" s="4419" t="s">
        <v>77</v>
      </c>
      <c r="Y90" s="4433"/>
      <c r="Z90" s="2004"/>
    </row>
    <row r="91" spans="1:27" s="1942" customFormat="1" ht="13.5" customHeight="1">
      <c r="A91" s="4350"/>
      <c r="B91" s="2260" t="s">
        <v>30</v>
      </c>
      <c r="C91" s="4431" t="s">
        <v>102</v>
      </c>
      <c r="D91" s="2052">
        <f t="shared" ref="D91:T91" si="81">+D92</f>
        <v>3436388</v>
      </c>
      <c r="E91" s="2052">
        <f t="shared" si="81"/>
        <v>134277</v>
      </c>
      <c r="F91" s="2044">
        <f t="shared" si="81"/>
        <v>0</v>
      </c>
      <c r="G91" s="2044">
        <f t="shared" si="81"/>
        <v>0</v>
      </c>
      <c r="H91" s="2044">
        <f t="shared" si="81"/>
        <v>134277</v>
      </c>
      <c r="I91" s="2045">
        <f t="shared" si="81"/>
        <v>392458</v>
      </c>
      <c r="J91" s="2045">
        <f t="shared" si="81"/>
        <v>352091</v>
      </c>
      <c r="K91" s="2045">
        <f t="shared" si="81"/>
        <v>275745</v>
      </c>
      <c r="L91" s="2045">
        <f t="shared" si="81"/>
        <v>72716</v>
      </c>
      <c r="M91" s="2052">
        <f t="shared" si="81"/>
        <v>1312119</v>
      </c>
      <c r="N91" s="2052">
        <f t="shared" si="81"/>
        <v>84832</v>
      </c>
      <c r="O91" s="2067">
        <f t="shared" si="81"/>
        <v>1562359</v>
      </c>
      <c r="P91" s="2067">
        <f t="shared" si="81"/>
        <v>561910</v>
      </c>
      <c r="Q91" s="2067">
        <f t="shared" si="81"/>
        <v>0</v>
      </c>
      <c r="R91" s="2067">
        <f t="shared" si="81"/>
        <v>0</v>
      </c>
      <c r="S91" s="2067">
        <f t="shared" si="81"/>
        <v>0</v>
      </c>
      <c r="T91" s="2067">
        <f t="shared" si="81"/>
        <v>0</v>
      </c>
      <c r="U91" s="2067"/>
      <c r="V91" s="2067"/>
      <c r="W91" s="2067"/>
      <c r="X91" s="4379"/>
      <c r="Y91" s="4433"/>
      <c r="Z91" s="2004"/>
    </row>
    <row r="92" spans="1:27" s="1942" customFormat="1" ht="13.5" customHeight="1" thickBot="1">
      <c r="A92" s="4445"/>
      <c r="B92" s="2261" t="s">
        <v>33</v>
      </c>
      <c r="C92" s="4353"/>
      <c r="D92" s="2239">
        <f>M92+O92+P92+Q92+R92+S92+T92+U92+V92+W92</f>
        <v>3436388</v>
      </c>
      <c r="E92" s="797">
        <v>134277</v>
      </c>
      <c r="F92" s="2062">
        <v>0</v>
      </c>
      <c r="G92" s="2062"/>
      <c r="H92" s="2062">
        <v>134277</v>
      </c>
      <c r="I92" s="2063">
        <v>392458</v>
      </c>
      <c r="J92" s="2063">
        <v>352091</v>
      </c>
      <c r="K92" s="2063">
        <f>165860+109885</f>
        <v>275745</v>
      </c>
      <c r="L92" s="2063">
        <f>300000-185820-41464</f>
        <v>72716</v>
      </c>
      <c r="M92" s="2049">
        <f>+E92+I92+J92+K92+L92+N92</f>
        <v>1312119</v>
      </c>
      <c r="N92" s="797">
        <f>64422+185578+250000-283602-114665-16901</f>
        <v>84832</v>
      </c>
      <c r="O92" s="1829">
        <f>54705+145295+300000+500200+1161532-200000-5249-46079+238455-586500</f>
        <v>1562359</v>
      </c>
      <c r="P92" s="1829">
        <v>561910</v>
      </c>
      <c r="Q92" s="797">
        <v>0</v>
      </c>
      <c r="R92" s="797">
        <v>0</v>
      </c>
      <c r="S92" s="599">
        <v>0</v>
      </c>
      <c r="T92" s="599">
        <v>0</v>
      </c>
      <c r="U92" s="599"/>
      <c r="V92" s="599"/>
      <c r="W92" s="599"/>
      <c r="X92" s="4380"/>
      <c r="Y92" s="4434"/>
      <c r="Z92" s="2004"/>
    </row>
    <row r="93" spans="1:27" ht="24.75" customHeight="1">
      <c r="A93" s="4064" t="s">
        <v>83</v>
      </c>
      <c r="B93" s="1828" t="s">
        <v>387</v>
      </c>
      <c r="C93" s="1841" t="s">
        <v>131</v>
      </c>
      <c r="D93" s="1793"/>
      <c r="E93" s="2335"/>
      <c r="F93" s="2336"/>
      <c r="G93" s="2336"/>
      <c r="H93" s="2337"/>
      <c r="I93" s="2338"/>
      <c r="J93" s="2339"/>
      <c r="K93" s="2339"/>
      <c r="L93" s="2339"/>
      <c r="M93" s="2335"/>
      <c r="N93" s="2335"/>
      <c r="O93" s="2335"/>
      <c r="P93" s="2335"/>
      <c r="Q93" s="2335"/>
      <c r="R93" s="2335"/>
      <c r="S93" s="2335"/>
      <c r="T93" s="2335"/>
      <c r="U93" s="2335"/>
      <c r="V93" s="2335"/>
      <c r="W93" s="2340"/>
      <c r="X93" s="1867"/>
      <c r="Y93" s="4409" t="s">
        <v>174</v>
      </c>
      <c r="Z93" s="2004"/>
    </row>
    <row r="94" spans="1:27" ht="13.5" customHeight="1">
      <c r="A94" s="4371"/>
      <c r="B94" s="1822" t="s">
        <v>22</v>
      </c>
      <c r="C94" s="1846"/>
      <c r="D94" s="2232">
        <f>D95+D97</f>
        <v>2328152</v>
      </c>
      <c r="E94" s="2232">
        <f t="shared" ref="E94:Q94" si="82">+E97+E95</f>
        <v>441028</v>
      </c>
      <c r="F94" s="2233">
        <f t="shared" si="82"/>
        <v>0</v>
      </c>
      <c r="G94" s="2233">
        <f t="shared" si="82"/>
        <v>0</v>
      </c>
      <c r="H94" s="2233">
        <f t="shared" si="82"/>
        <v>0</v>
      </c>
      <c r="I94" s="2234">
        <f t="shared" si="82"/>
        <v>364771</v>
      </c>
      <c r="J94" s="2234">
        <f t="shared" si="82"/>
        <v>375013</v>
      </c>
      <c r="K94" s="2234">
        <f t="shared" si="82"/>
        <v>348792</v>
      </c>
      <c r="L94" s="2234">
        <f t="shared" si="82"/>
        <v>377448</v>
      </c>
      <c r="M94" s="2232">
        <f t="shared" ref="M94" si="83">+M97+M95</f>
        <v>2126586</v>
      </c>
      <c r="N94" s="2232">
        <f t="shared" si="82"/>
        <v>219534</v>
      </c>
      <c r="O94" s="2232">
        <f t="shared" si="82"/>
        <v>201566</v>
      </c>
      <c r="P94" s="2232">
        <f t="shared" si="82"/>
        <v>0</v>
      </c>
      <c r="Q94" s="2232">
        <f t="shared" si="82"/>
        <v>0</v>
      </c>
      <c r="R94" s="2232">
        <f t="shared" ref="R94:T94" si="84">+R97+R95</f>
        <v>0</v>
      </c>
      <c r="S94" s="2232">
        <f t="shared" si="84"/>
        <v>0</v>
      </c>
      <c r="T94" s="2232">
        <f t="shared" si="84"/>
        <v>0</v>
      </c>
      <c r="U94" s="2232"/>
      <c r="V94" s="2232"/>
      <c r="W94" s="2232"/>
      <c r="X94" s="2235">
        <f>+X97+X95</f>
        <v>0</v>
      </c>
      <c r="Y94" s="4410"/>
      <c r="Z94" s="2004"/>
    </row>
    <row r="95" spans="1:27" ht="14.25" customHeight="1">
      <c r="A95" s="4371"/>
      <c r="B95" s="1823" t="s">
        <v>36</v>
      </c>
      <c r="C95" s="4412" t="s">
        <v>214</v>
      </c>
      <c r="D95" s="2236">
        <f t="shared" ref="D95:I95" si="85">D96</f>
        <v>349223</v>
      </c>
      <c r="E95" s="2236">
        <f t="shared" si="85"/>
        <v>66154</v>
      </c>
      <c r="F95" s="2233">
        <f t="shared" si="85"/>
        <v>0</v>
      </c>
      <c r="G95" s="2233">
        <f t="shared" si="85"/>
        <v>0</v>
      </c>
      <c r="H95" s="2233">
        <f t="shared" si="85"/>
        <v>0</v>
      </c>
      <c r="I95" s="2234">
        <f t="shared" si="85"/>
        <v>54716</v>
      </c>
      <c r="J95" s="2234">
        <f t="shared" ref="J95:T95" si="86">+J96</f>
        <v>56252</v>
      </c>
      <c r="K95" s="2234">
        <f t="shared" si="86"/>
        <v>52319</v>
      </c>
      <c r="L95" s="2234">
        <f t="shared" si="86"/>
        <v>56617</v>
      </c>
      <c r="M95" s="2236">
        <f t="shared" si="86"/>
        <v>318988</v>
      </c>
      <c r="N95" s="2236">
        <f t="shared" si="86"/>
        <v>32930</v>
      </c>
      <c r="O95" s="2236">
        <f t="shared" si="86"/>
        <v>30235</v>
      </c>
      <c r="P95" s="2236">
        <f t="shared" si="86"/>
        <v>0</v>
      </c>
      <c r="Q95" s="2236">
        <f t="shared" si="86"/>
        <v>0</v>
      </c>
      <c r="R95" s="2236">
        <f t="shared" si="86"/>
        <v>0</v>
      </c>
      <c r="S95" s="2236">
        <f t="shared" si="86"/>
        <v>0</v>
      </c>
      <c r="T95" s="2236">
        <f t="shared" si="86"/>
        <v>0</v>
      </c>
      <c r="U95" s="2236"/>
      <c r="V95" s="2236"/>
      <c r="W95" s="2236"/>
      <c r="X95" s="2237">
        <f>+X96</f>
        <v>0</v>
      </c>
      <c r="Y95" s="4410"/>
    </row>
    <row r="96" spans="1:27">
      <c r="A96" s="4371"/>
      <c r="B96" s="2238" t="s">
        <v>25</v>
      </c>
      <c r="C96" s="4373"/>
      <c r="D96" s="2239">
        <f>M96+O96+P96+Q96+R96+S96+T96+U96+V96+W96</f>
        <v>349223</v>
      </c>
      <c r="E96" s="2240">
        <v>66154</v>
      </c>
      <c r="F96" s="2241"/>
      <c r="G96" s="2241"/>
      <c r="H96" s="2241"/>
      <c r="I96" s="2242">
        <v>54716</v>
      </c>
      <c r="J96" s="2243">
        <v>56252</v>
      </c>
      <c r="K96" s="2243">
        <f>44352+12000-4033</f>
        <v>52319</v>
      </c>
      <c r="L96" s="2243">
        <v>56617</v>
      </c>
      <c r="M96" s="2240">
        <f>+E96+I96+J96+K96+L96+N96</f>
        <v>318988</v>
      </c>
      <c r="N96" s="2244">
        <v>32930</v>
      </c>
      <c r="O96" s="2244">
        <f>40163-9928</f>
        <v>30235</v>
      </c>
      <c r="P96" s="2245">
        <v>0</v>
      </c>
      <c r="Q96" s="2245">
        <v>0</v>
      </c>
      <c r="R96" s="2245">
        <v>0</v>
      </c>
      <c r="S96" s="2245">
        <v>0</v>
      </c>
      <c r="T96" s="2245">
        <v>0</v>
      </c>
      <c r="U96" s="2245"/>
      <c r="V96" s="2245"/>
      <c r="W96" s="2245"/>
      <c r="X96" s="2246">
        <f>SUM(P96:T96)</f>
        <v>0</v>
      </c>
      <c r="Y96" s="4410"/>
      <c r="Z96" s="1983"/>
    </row>
    <row r="97" spans="1:26" ht="12.75" customHeight="1">
      <c r="A97" s="4371"/>
      <c r="B97" s="1851" t="s">
        <v>30</v>
      </c>
      <c r="C97" s="4373"/>
      <c r="D97" s="2247">
        <f t="shared" ref="D97:X97" si="87">+D98</f>
        <v>1978929</v>
      </c>
      <c r="E97" s="2247">
        <f t="shared" si="87"/>
        <v>374874</v>
      </c>
      <c r="F97" s="2248">
        <f t="shared" si="87"/>
        <v>0</v>
      </c>
      <c r="G97" s="2248">
        <f t="shared" si="87"/>
        <v>0</v>
      </c>
      <c r="H97" s="2248">
        <f t="shared" si="87"/>
        <v>0</v>
      </c>
      <c r="I97" s="2249">
        <f t="shared" si="87"/>
        <v>310055</v>
      </c>
      <c r="J97" s="2249">
        <f t="shared" si="87"/>
        <v>318761</v>
      </c>
      <c r="K97" s="2249">
        <f t="shared" si="87"/>
        <v>296473</v>
      </c>
      <c r="L97" s="2249">
        <f t="shared" si="87"/>
        <v>320831</v>
      </c>
      <c r="M97" s="2247">
        <f t="shared" si="87"/>
        <v>1807598</v>
      </c>
      <c r="N97" s="2247">
        <f t="shared" si="87"/>
        <v>186604</v>
      </c>
      <c r="O97" s="2250">
        <f t="shared" si="87"/>
        <v>171331</v>
      </c>
      <c r="P97" s="2250">
        <f t="shared" si="87"/>
        <v>0</v>
      </c>
      <c r="Q97" s="2250">
        <f t="shared" si="87"/>
        <v>0</v>
      </c>
      <c r="R97" s="2250">
        <f t="shared" si="87"/>
        <v>0</v>
      </c>
      <c r="S97" s="2250">
        <f t="shared" si="87"/>
        <v>0</v>
      </c>
      <c r="T97" s="2250">
        <f t="shared" si="87"/>
        <v>0</v>
      </c>
      <c r="U97" s="2250"/>
      <c r="V97" s="2250"/>
      <c r="W97" s="2250"/>
      <c r="X97" s="2235">
        <f t="shared" si="87"/>
        <v>0</v>
      </c>
      <c r="Y97" s="4410"/>
    </row>
    <row r="98" spans="1:26">
      <c r="A98" s="4371"/>
      <c r="B98" s="2251" t="s">
        <v>33</v>
      </c>
      <c r="C98" s="4366"/>
      <c r="D98" s="2239">
        <f>M98+O98+P98+Q98+R98+S98+T98+U98+V98+W98</f>
        <v>1978929</v>
      </c>
      <c r="E98" s="2244">
        <v>374874</v>
      </c>
      <c r="F98" s="2252"/>
      <c r="G98" s="2252"/>
      <c r="H98" s="2252"/>
      <c r="I98" s="2243">
        <v>310055</v>
      </c>
      <c r="J98" s="2242">
        <v>318761</v>
      </c>
      <c r="K98" s="2242">
        <f>251327+68000-22854</f>
        <v>296473</v>
      </c>
      <c r="L98" s="2242">
        <f>268327+52504</f>
        <v>320831</v>
      </c>
      <c r="M98" s="2240">
        <f>+E98+I98+J98+K98+L98+N98</f>
        <v>1807598</v>
      </c>
      <c r="N98" s="2240">
        <v>186604</v>
      </c>
      <c r="O98" s="2240">
        <f>227588-56257</f>
        <v>171331</v>
      </c>
      <c r="P98" s="2240">
        <v>0</v>
      </c>
      <c r="Q98" s="1837">
        <v>0</v>
      </c>
      <c r="R98" s="1837">
        <v>0</v>
      </c>
      <c r="S98" s="1837">
        <v>0</v>
      </c>
      <c r="T98" s="1837">
        <v>0</v>
      </c>
      <c r="U98" s="1837"/>
      <c r="V98" s="1837"/>
      <c r="W98" s="1837"/>
      <c r="X98" s="2246">
        <f>SUM(P98:T98)</f>
        <v>0</v>
      </c>
      <c r="Y98" s="4410"/>
      <c r="Z98" s="1983"/>
    </row>
    <row r="99" spans="1:26" ht="12.75" customHeight="1">
      <c r="A99" s="4104"/>
      <c r="B99" s="1868" t="s">
        <v>34</v>
      </c>
      <c r="C99" s="2253"/>
      <c r="D99" s="2254">
        <f>D100+D102</f>
        <v>2328152</v>
      </c>
      <c r="E99" s="2254">
        <f>+E102+E100</f>
        <v>3874</v>
      </c>
      <c r="F99" s="2255">
        <f>+F102+F100</f>
        <v>0</v>
      </c>
      <c r="G99" s="2255">
        <f>+G102+G100</f>
        <v>0</v>
      </c>
      <c r="H99" s="2255">
        <f>+H102+H100</f>
        <v>0</v>
      </c>
      <c r="I99" s="2256">
        <f>+I102+I100</f>
        <v>480461</v>
      </c>
      <c r="J99" s="2234">
        <f t="shared" ref="J99:Q99" si="88">+J102+J100</f>
        <v>496759</v>
      </c>
      <c r="K99" s="2234">
        <f t="shared" si="88"/>
        <v>344217</v>
      </c>
      <c r="L99" s="2234">
        <f t="shared" si="88"/>
        <v>289417</v>
      </c>
      <c r="M99" s="2232">
        <f t="shared" ref="M99" si="89">+M102+M100</f>
        <v>1892106</v>
      </c>
      <c r="N99" s="2232">
        <f t="shared" si="88"/>
        <v>277378</v>
      </c>
      <c r="O99" s="2232">
        <f t="shared" si="88"/>
        <v>342136</v>
      </c>
      <c r="P99" s="2232">
        <f t="shared" si="88"/>
        <v>93910</v>
      </c>
      <c r="Q99" s="2232">
        <f t="shared" si="88"/>
        <v>0</v>
      </c>
      <c r="R99" s="2232">
        <f t="shared" ref="R99:T99" si="90">+R102+R100</f>
        <v>0</v>
      </c>
      <c r="S99" s="2232">
        <f t="shared" si="90"/>
        <v>0</v>
      </c>
      <c r="T99" s="2232">
        <f t="shared" si="90"/>
        <v>0</v>
      </c>
      <c r="U99" s="2232"/>
      <c r="V99" s="2232"/>
      <c r="W99" s="2232"/>
      <c r="X99" s="4443" t="s">
        <v>77</v>
      </c>
      <c r="Y99" s="4410"/>
    </row>
    <row r="100" spans="1:26" ht="14.25" customHeight="1">
      <c r="A100" s="4104"/>
      <c r="B100" s="1823" t="s">
        <v>36</v>
      </c>
      <c r="C100" s="4412" t="s">
        <v>214</v>
      </c>
      <c r="D100" s="2257">
        <f t="shared" ref="D100:I100" si="91">D101</f>
        <v>349223</v>
      </c>
      <c r="E100" s="2257">
        <f t="shared" si="91"/>
        <v>3874</v>
      </c>
      <c r="F100" s="2255">
        <f t="shared" si="91"/>
        <v>0</v>
      </c>
      <c r="G100" s="2255">
        <f t="shared" si="91"/>
        <v>0</v>
      </c>
      <c r="H100" s="2255">
        <f t="shared" si="91"/>
        <v>0</v>
      </c>
      <c r="I100" s="2256">
        <f t="shared" si="91"/>
        <v>72234</v>
      </c>
      <c r="J100" s="2234">
        <f t="shared" ref="J100:T100" si="92">+J101</f>
        <v>73370</v>
      </c>
      <c r="K100" s="2234">
        <f t="shared" si="92"/>
        <v>52704</v>
      </c>
      <c r="L100" s="2234">
        <f t="shared" si="92"/>
        <v>44329</v>
      </c>
      <c r="M100" s="2236">
        <f t="shared" si="92"/>
        <v>303135</v>
      </c>
      <c r="N100" s="2236">
        <f t="shared" si="92"/>
        <v>56624</v>
      </c>
      <c r="O100" s="2236">
        <f t="shared" si="92"/>
        <v>31674</v>
      </c>
      <c r="P100" s="2236">
        <f t="shared" si="92"/>
        <v>14414</v>
      </c>
      <c r="Q100" s="2236">
        <f t="shared" si="92"/>
        <v>0</v>
      </c>
      <c r="R100" s="2236">
        <f t="shared" si="92"/>
        <v>0</v>
      </c>
      <c r="S100" s="2236">
        <f t="shared" si="92"/>
        <v>0</v>
      </c>
      <c r="T100" s="2236">
        <f t="shared" si="92"/>
        <v>0</v>
      </c>
      <c r="U100" s="2236"/>
      <c r="V100" s="2236"/>
      <c r="W100" s="2236"/>
      <c r="X100" s="4369"/>
      <c r="Y100" s="4410"/>
    </row>
    <row r="101" spans="1:26">
      <c r="A101" s="4104"/>
      <c r="B101" s="2238" t="s">
        <v>25</v>
      </c>
      <c r="C101" s="4373"/>
      <c r="D101" s="2239">
        <f>M101+O101+P101+Q101+R101+S101+T101+U101+V101+W101</f>
        <v>349223</v>
      </c>
      <c r="E101" s="1837">
        <v>3874</v>
      </c>
      <c r="F101" s="2258"/>
      <c r="G101" s="2258"/>
      <c r="H101" s="2258"/>
      <c r="I101" s="2259">
        <v>72234</v>
      </c>
      <c r="J101" s="2243">
        <v>73370</v>
      </c>
      <c r="K101" s="2243">
        <f>44352+12000-3648</f>
        <v>52704</v>
      </c>
      <c r="L101" s="2243">
        <f>47352-3023</f>
        <v>44329</v>
      </c>
      <c r="M101" s="2240">
        <f>+E101+I101+J101+K101+L101+N101</f>
        <v>303135</v>
      </c>
      <c r="N101" s="2244">
        <v>56624</v>
      </c>
      <c r="O101" s="2244">
        <f>35934-4260</f>
        <v>31674</v>
      </c>
      <c r="P101" s="2245">
        <f>20082-5668</f>
        <v>14414</v>
      </c>
      <c r="Q101" s="2245">
        <v>0</v>
      </c>
      <c r="R101" s="2245">
        <v>0</v>
      </c>
      <c r="S101" s="2245">
        <v>0</v>
      </c>
      <c r="T101" s="2245">
        <v>0</v>
      </c>
      <c r="U101" s="2245"/>
      <c r="V101" s="2245"/>
      <c r="W101" s="2245"/>
      <c r="X101" s="4369"/>
      <c r="Y101" s="4410"/>
    </row>
    <row r="102" spans="1:26" ht="12.75" customHeight="1">
      <c r="A102" s="4104"/>
      <c r="B102" s="2260" t="s">
        <v>30</v>
      </c>
      <c r="C102" s="4373"/>
      <c r="D102" s="2247">
        <f t="shared" ref="D102:T102" si="93">+D103</f>
        <v>1978929</v>
      </c>
      <c r="E102" s="2247">
        <f t="shared" si="93"/>
        <v>0</v>
      </c>
      <c r="F102" s="2248">
        <f t="shared" si="93"/>
        <v>0</v>
      </c>
      <c r="G102" s="2248">
        <f t="shared" si="93"/>
        <v>0</v>
      </c>
      <c r="H102" s="2248">
        <f t="shared" si="93"/>
        <v>0</v>
      </c>
      <c r="I102" s="2249">
        <f t="shared" si="93"/>
        <v>408227</v>
      </c>
      <c r="J102" s="2249">
        <f t="shared" si="93"/>
        <v>423389</v>
      </c>
      <c r="K102" s="2249">
        <f t="shared" si="93"/>
        <v>291513</v>
      </c>
      <c r="L102" s="2249">
        <f t="shared" si="93"/>
        <v>245088</v>
      </c>
      <c r="M102" s="2247">
        <f t="shared" si="93"/>
        <v>1588971</v>
      </c>
      <c r="N102" s="2247">
        <f t="shared" si="93"/>
        <v>220754</v>
      </c>
      <c r="O102" s="2250">
        <f t="shared" si="93"/>
        <v>310462</v>
      </c>
      <c r="P102" s="2250">
        <f t="shared" si="93"/>
        <v>79496</v>
      </c>
      <c r="Q102" s="2250">
        <f t="shared" si="93"/>
        <v>0</v>
      </c>
      <c r="R102" s="2250">
        <f>+R103</f>
        <v>0</v>
      </c>
      <c r="S102" s="2250">
        <f t="shared" si="93"/>
        <v>0</v>
      </c>
      <c r="T102" s="2250">
        <f t="shared" si="93"/>
        <v>0</v>
      </c>
      <c r="U102" s="2250"/>
      <c r="V102" s="2250"/>
      <c r="W102" s="2250"/>
      <c r="X102" s="4369"/>
      <c r="Y102" s="4410"/>
    </row>
    <row r="103" spans="1:26" ht="12.75" customHeight="1" thickBot="1">
      <c r="A103" s="4105"/>
      <c r="B103" s="2261" t="s">
        <v>33</v>
      </c>
      <c r="C103" s="4367"/>
      <c r="D103" s="1869">
        <f>M103+O103+P103+Q103+R103+S103+T103+U103+V103+W103</f>
        <v>1978929</v>
      </c>
      <c r="E103" s="1829">
        <v>0</v>
      </c>
      <c r="F103" s="2262">
        <v>0</v>
      </c>
      <c r="G103" s="2262"/>
      <c r="H103" s="2262"/>
      <c r="I103" s="2263">
        <v>408227</v>
      </c>
      <c r="J103" s="2264">
        <v>423389</v>
      </c>
      <c r="K103" s="2264">
        <f>251327+68000-27814</f>
        <v>291513</v>
      </c>
      <c r="L103" s="2264">
        <f>268327-23239</f>
        <v>245088</v>
      </c>
      <c r="M103" s="2265">
        <f>+E103+I103+J103+K103+L103+N103</f>
        <v>1588971</v>
      </c>
      <c r="N103" s="2265">
        <v>220754</v>
      </c>
      <c r="O103" s="2265">
        <f>332421-21959</f>
        <v>310462</v>
      </c>
      <c r="P103" s="2265">
        <f>113794-34298</f>
        <v>79496</v>
      </c>
      <c r="Q103" s="2265">
        <v>0</v>
      </c>
      <c r="R103" s="2265">
        <v>0</v>
      </c>
      <c r="S103" s="2265">
        <v>0</v>
      </c>
      <c r="T103" s="2265">
        <v>0</v>
      </c>
      <c r="U103" s="2265"/>
      <c r="V103" s="2265"/>
      <c r="W103" s="2265"/>
      <c r="X103" s="4370"/>
      <c r="Y103" s="4411"/>
    </row>
    <row r="104" spans="1:26" s="2029" customFormat="1" ht="33.75" customHeight="1">
      <c r="A104" s="4349" t="s">
        <v>140</v>
      </c>
      <c r="B104" s="771" t="s">
        <v>223</v>
      </c>
      <c r="C104" s="772" t="s">
        <v>98</v>
      </c>
      <c r="D104" s="837"/>
      <c r="E104" s="835"/>
      <c r="F104" s="2331"/>
      <c r="G104" s="2331"/>
      <c r="H104" s="2332"/>
      <c r="I104" s="2333"/>
      <c r="J104" s="2333"/>
      <c r="K104" s="2334"/>
      <c r="L104" s="2334"/>
      <c r="M104" s="835"/>
      <c r="N104" s="835"/>
      <c r="O104" s="835"/>
      <c r="P104" s="835"/>
      <c r="Q104" s="835"/>
      <c r="R104" s="835"/>
      <c r="S104" s="835"/>
      <c r="T104" s="835"/>
      <c r="U104" s="835"/>
      <c r="V104" s="835"/>
      <c r="W104" s="1246"/>
      <c r="X104" s="2068"/>
      <c r="Y104" s="4413" t="s">
        <v>224</v>
      </c>
    </row>
    <row r="105" spans="1:26" s="2029" customFormat="1" ht="14.25" customHeight="1">
      <c r="A105" s="4350"/>
      <c r="B105" s="381" t="s">
        <v>22</v>
      </c>
      <c r="C105" s="798"/>
      <c r="D105" s="2039">
        <f t="shared" ref="D105:L105" si="94">+D106+D108</f>
        <v>19958371</v>
      </c>
      <c r="E105" s="2039">
        <f t="shared" si="94"/>
        <v>0</v>
      </c>
      <c r="F105" s="2040">
        <f t="shared" si="94"/>
        <v>0</v>
      </c>
      <c r="G105" s="2040">
        <f t="shared" si="94"/>
        <v>0</v>
      </c>
      <c r="H105" s="2040">
        <f t="shared" si="94"/>
        <v>0</v>
      </c>
      <c r="I105" s="2041">
        <f t="shared" si="94"/>
        <v>0</v>
      </c>
      <c r="J105" s="2041">
        <f t="shared" si="94"/>
        <v>36900</v>
      </c>
      <c r="K105" s="2041">
        <f t="shared" si="94"/>
        <v>5439983</v>
      </c>
      <c r="L105" s="2041">
        <f t="shared" si="94"/>
        <v>7001140</v>
      </c>
      <c r="M105" s="2039">
        <f>+M106+M108</f>
        <v>12745288</v>
      </c>
      <c r="N105" s="2039">
        <f>+N106+N108</f>
        <v>267265</v>
      </c>
      <c r="O105" s="2039">
        <f>+O106+O108</f>
        <v>7213083</v>
      </c>
      <c r="P105" s="2039">
        <f t="shared" ref="P105:T105" si="95">+P106+P108</f>
        <v>0</v>
      </c>
      <c r="Q105" s="2039">
        <f t="shared" si="95"/>
        <v>0</v>
      </c>
      <c r="R105" s="2039">
        <f t="shared" si="95"/>
        <v>0</v>
      </c>
      <c r="S105" s="2039">
        <f t="shared" si="95"/>
        <v>0</v>
      </c>
      <c r="T105" s="2039">
        <f t="shared" si="95"/>
        <v>0</v>
      </c>
      <c r="U105" s="2039"/>
      <c r="V105" s="2039"/>
      <c r="W105" s="2039"/>
      <c r="X105" s="2042">
        <f>+X106+X108</f>
        <v>0</v>
      </c>
      <c r="Y105" s="4414"/>
      <c r="Z105" s="2004"/>
    </row>
    <row r="106" spans="1:26" s="2106" customFormat="1" ht="13.5" customHeight="1">
      <c r="A106" s="4350"/>
      <c r="B106" s="779" t="s">
        <v>36</v>
      </c>
      <c r="C106" s="4416" t="s">
        <v>225</v>
      </c>
      <c r="D106" s="2102">
        <f>+D107</f>
        <v>4989593</v>
      </c>
      <c r="E106" s="2102">
        <f t="shared" ref="E106:X106" si="96">+E107</f>
        <v>0</v>
      </c>
      <c r="F106" s="2103">
        <f t="shared" si="96"/>
        <v>0</v>
      </c>
      <c r="G106" s="2103">
        <f t="shared" si="96"/>
        <v>0</v>
      </c>
      <c r="H106" s="2103">
        <f t="shared" si="96"/>
        <v>0</v>
      </c>
      <c r="I106" s="2104">
        <f t="shared" si="96"/>
        <v>0</v>
      </c>
      <c r="J106" s="2104">
        <f t="shared" si="96"/>
        <v>9225</v>
      </c>
      <c r="K106" s="2104">
        <f t="shared" si="96"/>
        <v>1343620</v>
      </c>
      <c r="L106" s="2104">
        <f t="shared" si="96"/>
        <v>1750285</v>
      </c>
      <c r="M106" s="2102">
        <f t="shared" si="96"/>
        <v>3169946</v>
      </c>
      <c r="N106" s="2102">
        <f t="shared" si="96"/>
        <v>66816</v>
      </c>
      <c r="O106" s="2102">
        <f t="shared" si="96"/>
        <v>1819647</v>
      </c>
      <c r="P106" s="2102">
        <f t="shared" si="96"/>
        <v>0</v>
      </c>
      <c r="Q106" s="2102">
        <f t="shared" si="96"/>
        <v>0</v>
      </c>
      <c r="R106" s="2102">
        <f t="shared" si="96"/>
        <v>0</v>
      </c>
      <c r="S106" s="2102">
        <f t="shared" si="96"/>
        <v>0</v>
      </c>
      <c r="T106" s="2102">
        <f t="shared" si="96"/>
        <v>0</v>
      </c>
      <c r="U106" s="2102"/>
      <c r="V106" s="2102"/>
      <c r="W106" s="2102"/>
      <c r="X106" s="2105">
        <f t="shared" si="96"/>
        <v>0</v>
      </c>
      <c r="Y106" s="4414"/>
    </row>
    <row r="107" spans="1:26" s="2029" customFormat="1" ht="13.5" customHeight="1">
      <c r="A107" s="4350"/>
      <c r="B107" s="782" t="s">
        <v>24</v>
      </c>
      <c r="C107" s="4375"/>
      <c r="D107" s="2074">
        <f>M107+O107+P107+Q107+R107+S107+T107+U107+V107+W107</f>
        <v>4989593</v>
      </c>
      <c r="E107" s="2107">
        <v>0</v>
      </c>
      <c r="F107" s="2058">
        <v>0</v>
      </c>
      <c r="G107" s="2058">
        <v>0</v>
      </c>
      <c r="H107" s="2058"/>
      <c r="I107" s="2059">
        <v>0</v>
      </c>
      <c r="J107" s="2059">
        <f>2105000-842700-1249950-3125</f>
        <v>9225</v>
      </c>
      <c r="K107" s="2059">
        <f>2417500+842700+1249950+3125-3142200-27455</f>
        <v>1343620</v>
      </c>
      <c r="L107" s="2059">
        <f>1227500+3142200+27455-3047155+475000-74715</f>
        <v>1750285</v>
      </c>
      <c r="M107" s="2049">
        <f>+E107+I107+J107+K107+L107+N107</f>
        <v>3169946</v>
      </c>
      <c r="N107" s="2057">
        <f>75325+74715-83224</f>
        <v>66816</v>
      </c>
      <c r="O107" s="2057">
        <f>2971830-475000-677183</f>
        <v>1819647</v>
      </c>
      <c r="P107" s="2108">
        <v>0</v>
      </c>
      <c r="Q107" s="2108">
        <v>0</v>
      </c>
      <c r="R107" s="2108">
        <v>0</v>
      </c>
      <c r="S107" s="2108">
        <v>0</v>
      </c>
      <c r="T107" s="2108">
        <v>0</v>
      </c>
      <c r="U107" s="2108"/>
      <c r="V107" s="2108"/>
      <c r="W107" s="2108"/>
      <c r="X107" s="2016">
        <f>SUM(P107:T107)</f>
        <v>0</v>
      </c>
      <c r="Y107" s="4414"/>
    </row>
    <row r="108" spans="1:26" s="2029" customFormat="1" ht="11.25" customHeight="1">
      <c r="A108" s="4350"/>
      <c r="B108" s="525" t="s">
        <v>30</v>
      </c>
      <c r="C108" s="4375"/>
      <c r="D108" s="2052">
        <f>+D109</f>
        <v>14968778</v>
      </c>
      <c r="E108" s="2052">
        <f t="shared" ref="E108:X108" si="97">+E109</f>
        <v>0</v>
      </c>
      <c r="F108" s="2044">
        <f t="shared" si="97"/>
        <v>0</v>
      </c>
      <c r="G108" s="2044">
        <f t="shared" si="97"/>
        <v>0</v>
      </c>
      <c r="H108" s="2044">
        <f t="shared" si="97"/>
        <v>0</v>
      </c>
      <c r="I108" s="2045">
        <f t="shared" si="97"/>
        <v>0</v>
      </c>
      <c r="J108" s="2045">
        <f t="shared" si="97"/>
        <v>27675</v>
      </c>
      <c r="K108" s="2045">
        <f t="shared" si="97"/>
        <v>4096363</v>
      </c>
      <c r="L108" s="2045">
        <f t="shared" si="97"/>
        <v>5250855</v>
      </c>
      <c r="M108" s="2052">
        <f t="shared" si="97"/>
        <v>9575342</v>
      </c>
      <c r="N108" s="2052">
        <f t="shared" si="97"/>
        <v>200449</v>
      </c>
      <c r="O108" s="2052">
        <f t="shared" si="97"/>
        <v>5393436</v>
      </c>
      <c r="P108" s="2052">
        <f t="shared" si="97"/>
        <v>0</v>
      </c>
      <c r="Q108" s="2052">
        <f t="shared" si="97"/>
        <v>0</v>
      </c>
      <c r="R108" s="2052">
        <f t="shared" si="97"/>
        <v>0</v>
      </c>
      <c r="S108" s="2052">
        <f t="shared" si="97"/>
        <v>0</v>
      </c>
      <c r="T108" s="2052">
        <f t="shared" si="97"/>
        <v>0</v>
      </c>
      <c r="U108" s="2109"/>
      <c r="V108" s="2109"/>
      <c r="W108" s="2109"/>
      <c r="X108" s="2110">
        <f t="shared" si="97"/>
        <v>0</v>
      </c>
      <c r="Y108" s="4414"/>
    </row>
    <row r="109" spans="1:26" s="1942" customFormat="1" ht="12" customHeight="1">
      <c r="A109" s="4350"/>
      <c r="B109" s="2053" t="s">
        <v>33</v>
      </c>
      <c r="C109" s="4352"/>
      <c r="D109" s="2074">
        <f>M109+O109+P109+Q109+R109+S109+T109+U109+V109+W109</f>
        <v>14968778</v>
      </c>
      <c r="E109" s="2054">
        <v>0</v>
      </c>
      <c r="F109" s="2055">
        <v>0</v>
      </c>
      <c r="G109" s="2055">
        <v>0</v>
      </c>
      <c r="H109" s="2055"/>
      <c r="I109" s="2056">
        <v>0</v>
      </c>
      <c r="J109" s="2056">
        <f>6315000-2528100-3749850-9375</f>
        <v>27675</v>
      </c>
      <c r="K109" s="2056">
        <f>7252500+2528100+3749850+9375-9426600-16862</f>
        <v>4096363</v>
      </c>
      <c r="L109" s="2056">
        <f>3682500+9426600+16862-9075962+1425000-224145</f>
        <v>5250855</v>
      </c>
      <c r="M109" s="2049">
        <f>+E109+I109+J109+K109+L109+N109</f>
        <v>9575342</v>
      </c>
      <c r="N109" s="2054">
        <f>225975+224145-249671</f>
        <v>200449</v>
      </c>
      <c r="O109" s="2054">
        <f>8849987-1425000-2031551</f>
        <v>5393436</v>
      </c>
      <c r="P109" s="650">
        <v>0</v>
      </c>
      <c r="Q109" s="650">
        <v>0</v>
      </c>
      <c r="R109" s="650">
        <v>0</v>
      </c>
      <c r="S109" s="650">
        <v>0</v>
      </c>
      <c r="T109" s="650">
        <v>0</v>
      </c>
      <c r="U109" s="650"/>
      <c r="V109" s="650"/>
      <c r="W109" s="650"/>
      <c r="X109" s="2016">
        <f>SUM(P109:T109)</f>
        <v>0</v>
      </c>
      <c r="Y109" s="4414"/>
    </row>
    <row r="110" spans="1:26" s="1942" customFormat="1" ht="14.25" customHeight="1">
      <c r="A110" s="4117"/>
      <c r="B110" s="381" t="s">
        <v>34</v>
      </c>
      <c r="C110" s="789"/>
      <c r="D110" s="2039">
        <f>+D111</f>
        <v>14968778</v>
      </c>
      <c r="E110" s="2039">
        <f t="shared" ref="E110:T110" si="98">+E111</f>
        <v>0</v>
      </c>
      <c r="F110" s="2040">
        <f t="shared" si="98"/>
        <v>0</v>
      </c>
      <c r="G110" s="2040">
        <f t="shared" si="98"/>
        <v>0</v>
      </c>
      <c r="H110" s="2040">
        <f t="shared" si="98"/>
        <v>0</v>
      </c>
      <c r="I110" s="2041">
        <f t="shared" si="98"/>
        <v>0</v>
      </c>
      <c r="J110" s="2041">
        <f t="shared" si="98"/>
        <v>0</v>
      </c>
      <c r="K110" s="2041">
        <f t="shared" si="98"/>
        <v>4114813</v>
      </c>
      <c r="L110" s="2041">
        <f t="shared" si="98"/>
        <v>5297810</v>
      </c>
      <c r="M110" s="2039">
        <f t="shared" si="98"/>
        <v>9654180</v>
      </c>
      <c r="N110" s="2039">
        <f t="shared" si="98"/>
        <v>241557</v>
      </c>
      <c r="O110" s="2039">
        <f t="shared" si="98"/>
        <v>5314598</v>
      </c>
      <c r="P110" s="2039">
        <f t="shared" si="98"/>
        <v>0</v>
      </c>
      <c r="Q110" s="2039">
        <f t="shared" si="98"/>
        <v>0</v>
      </c>
      <c r="R110" s="2039">
        <f t="shared" si="98"/>
        <v>0</v>
      </c>
      <c r="S110" s="2039">
        <f t="shared" si="98"/>
        <v>0</v>
      </c>
      <c r="T110" s="2039">
        <f t="shared" si="98"/>
        <v>0</v>
      </c>
      <c r="U110" s="2039"/>
      <c r="V110" s="2039"/>
      <c r="W110" s="2039"/>
      <c r="X110" s="4419" t="s">
        <v>77</v>
      </c>
      <c r="Y110" s="4414"/>
    </row>
    <row r="111" spans="1:26" s="1942" customFormat="1" ht="13.5" customHeight="1">
      <c r="A111" s="4117"/>
      <c r="B111" s="2100" t="s">
        <v>30</v>
      </c>
      <c r="C111" s="4375"/>
      <c r="D111" s="2052">
        <f t="shared" ref="D111:T111" si="99">+D112</f>
        <v>14968778</v>
      </c>
      <c r="E111" s="2052">
        <f t="shared" si="99"/>
        <v>0</v>
      </c>
      <c r="F111" s="2044">
        <f t="shared" si="99"/>
        <v>0</v>
      </c>
      <c r="G111" s="2044">
        <f t="shared" si="99"/>
        <v>0</v>
      </c>
      <c r="H111" s="2044">
        <f t="shared" si="99"/>
        <v>0</v>
      </c>
      <c r="I111" s="2045">
        <f t="shared" si="99"/>
        <v>0</v>
      </c>
      <c r="J111" s="2045">
        <f t="shared" si="99"/>
        <v>0</v>
      </c>
      <c r="K111" s="2045">
        <f t="shared" si="99"/>
        <v>4114813</v>
      </c>
      <c r="L111" s="2045">
        <f t="shared" si="99"/>
        <v>5297810</v>
      </c>
      <c r="M111" s="2052">
        <f t="shared" si="99"/>
        <v>9654180</v>
      </c>
      <c r="N111" s="2052">
        <f t="shared" si="99"/>
        <v>241557</v>
      </c>
      <c r="O111" s="2052">
        <f t="shared" si="99"/>
        <v>5314598</v>
      </c>
      <c r="P111" s="2052">
        <f t="shared" si="99"/>
        <v>0</v>
      </c>
      <c r="Q111" s="2052">
        <f t="shared" si="99"/>
        <v>0</v>
      </c>
      <c r="R111" s="2052">
        <f t="shared" si="99"/>
        <v>0</v>
      </c>
      <c r="S111" s="2052">
        <f t="shared" si="99"/>
        <v>0</v>
      </c>
      <c r="T111" s="2052">
        <f t="shared" si="99"/>
        <v>0</v>
      </c>
      <c r="U111" s="2052"/>
      <c r="V111" s="2052"/>
      <c r="W111" s="2052"/>
      <c r="X111" s="4379"/>
      <c r="Y111" s="4414"/>
    </row>
    <row r="112" spans="1:26" s="1942" customFormat="1" ht="11.25" customHeight="1" thickBot="1">
      <c r="A112" s="4118"/>
      <c r="B112" s="2061" t="s">
        <v>33</v>
      </c>
      <c r="C112" s="4353"/>
      <c r="D112" s="2074">
        <f>M112+O112+P112+Q112+R112+S112+T112+U112+V112+W112</f>
        <v>14968778</v>
      </c>
      <c r="E112" s="797">
        <v>0</v>
      </c>
      <c r="F112" s="2062"/>
      <c r="G112" s="2062"/>
      <c r="H112" s="2062"/>
      <c r="I112" s="2063">
        <v>0</v>
      </c>
      <c r="J112" s="2063">
        <f>6315000-2528100-3749850-37050</f>
        <v>0</v>
      </c>
      <c r="K112" s="2063">
        <f>7252500+2528100+3749850+37050-9452687</f>
        <v>4114813</v>
      </c>
      <c r="L112" s="2063">
        <f>3682500+9452687-9020637+1425000-241740</f>
        <v>5297810</v>
      </c>
      <c r="M112" s="2049">
        <f>+E112+I112+J112+K112+L112+N112</f>
        <v>9654180</v>
      </c>
      <c r="N112" s="797">
        <f>169763+241740-169946</f>
        <v>241557</v>
      </c>
      <c r="O112" s="797">
        <f>8850874-1425000-2111276</f>
        <v>5314598</v>
      </c>
      <c r="P112" s="797">
        <v>0</v>
      </c>
      <c r="Q112" s="797">
        <v>0</v>
      </c>
      <c r="R112" s="797">
        <v>0</v>
      </c>
      <c r="S112" s="599">
        <v>0</v>
      </c>
      <c r="T112" s="599">
        <v>0</v>
      </c>
      <c r="U112" s="599"/>
      <c r="V112" s="599"/>
      <c r="W112" s="599"/>
      <c r="X112" s="4380"/>
      <c r="Y112" s="4415"/>
    </row>
    <row r="113" spans="1:30" s="2029" customFormat="1" ht="18" customHeight="1">
      <c r="A113" s="4064" t="s">
        <v>105</v>
      </c>
      <c r="B113" s="1828" t="s">
        <v>501</v>
      </c>
      <c r="C113" s="772" t="s">
        <v>131</v>
      </c>
      <c r="D113" s="837"/>
      <c r="E113" s="2330"/>
      <c r="F113" s="2331"/>
      <c r="G113" s="2331"/>
      <c r="H113" s="2332"/>
      <c r="I113" s="2333"/>
      <c r="J113" s="2333"/>
      <c r="K113" s="2333"/>
      <c r="L113" s="2333"/>
      <c r="M113" s="2330"/>
      <c r="N113" s="2330"/>
      <c r="O113" s="2330"/>
      <c r="P113" s="2330"/>
      <c r="Q113" s="2330"/>
      <c r="R113" s="2330"/>
      <c r="S113" s="2330"/>
      <c r="T113" s="2330"/>
      <c r="U113" s="2330"/>
      <c r="V113" s="2330"/>
      <c r="W113" s="2341"/>
      <c r="X113" s="2068"/>
      <c r="Y113" s="4439" t="s">
        <v>481</v>
      </c>
      <c r="Z113" s="2069"/>
      <c r="AA113" s="2070"/>
      <c r="AB113" s="2037"/>
    </row>
    <row r="114" spans="1:30" s="2029" customFormat="1" ht="15.75" customHeight="1">
      <c r="A114" s="4371"/>
      <c r="B114" s="1822" t="s">
        <v>22</v>
      </c>
      <c r="C114" s="3618"/>
      <c r="D114" s="3036">
        <f>+D125+D115</f>
        <v>216690657</v>
      </c>
      <c r="E114" s="3036">
        <f t="shared" ref="E114:T114" si="100">+E125+E115</f>
        <v>0</v>
      </c>
      <c r="F114" s="3036">
        <f t="shared" si="100"/>
        <v>0</v>
      </c>
      <c r="G114" s="3036">
        <f t="shared" si="100"/>
        <v>0</v>
      </c>
      <c r="H114" s="3036">
        <f t="shared" si="100"/>
        <v>0</v>
      </c>
      <c r="I114" s="3036">
        <f t="shared" si="100"/>
        <v>0</v>
      </c>
      <c r="J114" s="3036">
        <f t="shared" si="100"/>
        <v>0</v>
      </c>
      <c r="K114" s="3036">
        <f t="shared" si="100"/>
        <v>0</v>
      </c>
      <c r="L114" s="3036">
        <f t="shared" si="100"/>
        <v>0</v>
      </c>
      <c r="M114" s="3036">
        <f t="shared" si="100"/>
        <v>0</v>
      </c>
      <c r="N114" s="3036">
        <f t="shared" si="100"/>
        <v>0</v>
      </c>
      <c r="O114" s="3036">
        <f t="shared" si="100"/>
        <v>95653</v>
      </c>
      <c r="P114" s="3036">
        <f t="shared" si="100"/>
        <v>28054293</v>
      </c>
      <c r="Q114" s="3036">
        <f t="shared" si="100"/>
        <v>27957116</v>
      </c>
      <c r="R114" s="3036">
        <f t="shared" si="100"/>
        <v>28102933</v>
      </c>
      <c r="S114" s="3036">
        <f t="shared" si="100"/>
        <v>26642259</v>
      </c>
      <c r="T114" s="3036">
        <f t="shared" si="100"/>
        <v>26998728</v>
      </c>
      <c r="U114" s="3036">
        <f t="shared" ref="U114:W114" si="101">+U125+U115</f>
        <v>27362330</v>
      </c>
      <c r="V114" s="3036">
        <f t="shared" si="101"/>
        <v>25549534</v>
      </c>
      <c r="W114" s="3036">
        <f t="shared" si="101"/>
        <v>25927811</v>
      </c>
      <c r="X114" s="3640">
        <f>+X125+X115</f>
        <v>212648123</v>
      </c>
      <c r="Y114" s="4440"/>
      <c r="Z114" s="2004"/>
      <c r="AA114" s="2070"/>
    </row>
    <row r="115" spans="1:30" s="2013" customFormat="1" ht="15.75" customHeight="1">
      <c r="A115" s="4371"/>
      <c r="B115" s="1823" t="s">
        <v>36</v>
      </c>
      <c r="C115" s="4442" t="s">
        <v>482</v>
      </c>
      <c r="D115" s="3641">
        <f>D116+D122</f>
        <v>35697399</v>
      </c>
      <c r="E115" s="3641">
        <f t="shared" ref="E115:T115" si="102">E116+E122</f>
        <v>0</v>
      </c>
      <c r="F115" s="3641">
        <f t="shared" si="102"/>
        <v>0</v>
      </c>
      <c r="G115" s="3641">
        <f t="shared" si="102"/>
        <v>0</v>
      </c>
      <c r="H115" s="3641">
        <f t="shared" si="102"/>
        <v>0</v>
      </c>
      <c r="I115" s="3641">
        <f t="shared" si="102"/>
        <v>0</v>
      </c>
      <c r="J115" s="3641">
        <f t="shared" si="102"/>
        <v>0</v>
      </c>
      <c r="K115" s="3641">
        <f t="shared" si="102"/>
        <v>0</v>
      </c>
      <c r="L115" s="3641">
        <f t="shared" si="102"/>
        <v>0</v>
      </c>
      <c r="M115" s="3641">
        <f t="shared" si="102"/>
        <v>0</v>
      </c>
      <c r="N115" s="3641">
        <f t="shared" si="102"/>
        <v>0</v>
      </c>
      <c r="O115" s="3641">
        <f>O116+O122</f>
        <v>12575</v>
      </c>
      <c r="P115" s="3641">
        <f t="shared" si="102"/>
        <v>4810882</v>
      </c>
      <c r="Q115" s="3641">
        <f t="shared" si="102"/>
        <v>4783319</v>
      </c>
      <c r="R115" s="3641">
        <f t="shared" si="102"/>
        <v>4886255</v>
      </c>
      <c r="S115" s="3641">
        <f t="shared" si="102"/>
        <v>4932265</v>
      </c>
      <c r="T115" s="3641">
        <f t="shared" si="102"/>
        <v>5021500</v>
      </c>
      <c r="U115" s="3641">
        <f t="shared" ref="U115:W115" si="103">U116+U122</f>
        <v>5112520</v>
      </c>
      <c r="V115" s="3641">
        <f t="shared" si="103"/>
        <v>3021693</v>
      </c>
      <c r="W115" s="3641">
        <f t="shared" si="103"/>
        <v>3116390</v>
      </c>
      <c r="X115" s="3642">
        <f t="shared" ref="X115" si="104">X116+X122</f>
        <v>31737943</v>
      </c>
      <c r="Y115" s="4440"/>
      <c r="Z115" s="2114"/>
      <c r="AA115" s="2079"/>
    </row>
    <row r="116" spans="1:30" s="2029" customFormat="1">
      <c r="A116" s="4371"/>
      <c r="B116" s="1849" t="s">
        <v>24</v>
      </c>
      <c r="C116" s="4375"/>
      <c r="D116" s="3643">
        <f t="shared" ref="D116:D122" si="105">M116+O116+P116+Q116+R116+S116+T116+U116+V116+W116</f>
        <v>31750518</v>
      </c>
      <c r="E116" s="3644">
        <f t="shared" ref="E116:T116" si="106">E118+E119+E120+E121</f>
        <v>0</v>
      </c>
      <c r="F116" s="3644">
        <f t="shared" si="106"/>
        <v>0</v>
      </c>
      <c r="G116" s="3644">
        <f t="shared" si="106"/>
        <v>0</v>
      </c>
      <c r="H116" s="3644">
        <f t="shared" si="106"/>
        <v>0</v>
      </c>
      <c r="I116" s="3644">
        <f t="shared" si="106"/>
        <v>0</v>
      </c>
      <c r="J116" s="3644">
        <f t="shared" si="106"/>
        <v>0</v>
      </c>
      <c r="K116" s="3644">
        <f t="shared" si="106"/>
        <v>0</v>
      </c>
      <c r="L116" s="3644">
        <f t="shared" si="106"/>
        <v>0</v>
      </c>
      <c r="M116" s="3627">
        <f>+E116+I116+J116+K116+L116+N116</f>
        <v>0</v>
      </c>
      <c r="N116" s="3644">
        <f t="shared" si="106"/>
        <v>0</v>
      </c>
      <c r="O116" s="3644">
        <f t="shared" si="106"/>
        <v>12575</v>
      </c>
      <c r="P116" s="3644">
        <f t="shared" si="106"/>
        <v>4204424</v>
      </c>
      <c r="Q116" s="3644">
        <f t="shared" si="106"/>
        <v>4307355</v>
      </c>
      <c r="R116" s="3644">
        <f t="shared" si="106"/>
        <v>4374282</v>
      </c>
      <c r="S116" s="3644">
        <f t="shared" si="106"/>
        <v>4461767</v>
      </c>
      <c r="T116" s="3644">
        <f t="shared" si="106"/>
        <v>4551003</v>
      </c>
      <c r="U116" s="3644">
        <f t="shared" ref="U116:W116" si="107">U118+U119+U120+U121</f>
        <v>4642023</v>
      </c>
      <c r="V116" s="3644">
        <f t="shared" si="107"/>
        <v>2551196</v>
      </c>
      <c r="W116" s="3644">
        <f t="shared" si="107"/>
        <v>2645893</v>
      </c>
      <c r="X116" s="3645">
        <f>X118+X119+X120+X121</f>
        <v>31737943</v>
      </c>
      <c r="Y116" s="4440"/>
      <c r="Z116" s="2114"/>
      <c r="AA116" s="2070"/>
    </row>
    <row r="117" spans="1:30" s="2029" customFormat="1" hidden="1">
      <c r="A117" s="4371"/>
      <c r="B117" s="2754" t="s">
        <v>216</v>
      </c>
      <c r="C117" s="4375"/>
      <c r="D117" s="3643">
        <f t="shared" si="105"/>
        <v>0</v>
      </c>
      <c r="E117" s="3646"/>
      <c r="F117" s="3646"/>
      <c r="G117" s="3646"/>
      <c r="H117" s="3646"/>
      <c r="I117" s="3646"/>
      <c r="J117" s="3646"/>
      <c r="K117" s="3646"/>
      <c r="L117" s="3646"/>
      <c r="M117" s="3646"/>
      <c r="N117" s="3646"/>
      <c r="O117" s="3646"/>
      <c r="P117" s="3646"/>
      <c r="Q117" s="3646"/>
      <c r="R117" s="3646"/>
      <c r="S117" s="3646"/>
      <c r="T117" s="3646"/>
      <c r="U117" s="3646"/>
      <c r="V117" s="3646"/>
      <c r="W117" s="3646"/>
      <c r="X117" s="3647"/>
      <c r="Y117" s="4440"/>
      <c r="Z117" s="2004"/>
      <c r="AA117" s="2070"/>
    </row>
    <row r="118" spans="1:30" s="2029" customFormat="1" hidden="1">
      <c r="A118" s="4371"/>
      <c r="B118" s="2766" t="s">
        <v>217</v>
      </c>
      <c r="C118" s="4375"/>
      <c r="D118" s="3643">
        <f t="shared" si="105"/>
        <v>0</v>
      </c>
      <c r="E118" s="3648"/>
      <c r="F118" s="3648"/>
      <c r="G118" s="3648"/>
      <c r="H118" s="3648"/>
      <c r="I118" s="3648"/>
      <c r="J118" s="3648"/>
      <c r="K118" s="3648"/>
      <c r="L118" s="3648"/>
      <c r="M118" s="3648"/>
      <c r="N118" s="3648"/>
      <c r="O118" s="3648">
        <v>0</v>
      </c>
      <c r="P118" s="3648"/>
      <c r="Q118" s="3648"/>
      <c r="R118" s="3648"/>
      <c r="S118" s="3648"/>
      <c r="T118" s="3648"/>
      <c r="U118" s="3648"/>
      <c r="V118" s="3648"/>
      <c r="W118" s="3648"/>
      <c r="X118" s="3649">
        <f>P118+Q118+R118+S118+T118</f>
        <v>0</v>
      </c>
      <c r="Y118" s="4440"/>
      <c r="Z118" s="2004"/>
      <c r="AA118" s="2070"/>
    </row>
    <row r="119" spans="1:30" s="2029" customFormat="1" hidden="1">
      <c r="A119" s="4371"/>
      <c r="B119" s="2767" t="s">
        <v>218</v>
      </c>
      <c r="C119" s="4375"/>
      <c r="D119" s="3643">
        <f t="shared" si="105"/>
        <v>0</v>
      </c>
      <c r="E119" s="3650"/>
      <c r="F119" s="3650"/>
      <c r="G119" s="3650"/>
      <c r="H119" s="3650"/>
      <c r="I119" s="3650"/>
      <c r="J119" s="3650"/>
      <c r="K119" s="3650"/>
      <c r="L119" s="3650"/>
      <c r="M119" s="3650"/>
      <c r="N119" s="3650"/>
      <c r="O119" s="3650"/>
      <c r="P119" s="3650"/>
      <c r="Q119" s="3650"/>
      <c r="R119" s="3650"/>
      <c r="S119" s="3650"/>
      <c r="T119" s="3650"/>
      <c r="U119" s="3650"/>
      <c r="V119" s="3650"/>
      <c r="W119" s="3650"/>
      <c r="X119" s="3649">
        <f>P119+Q119+R119+S119+T119</f>
        <v>0</v>
      </c>
      <c r="Y119" s="4440"/>
      <c r="Z119" s="2004"/>
      <c r="AA119" s="2070"/>
    </row>
    <row r="120" spans="1:30" s="2029" customFormat="1" hidden="1">
      <c r="A120" s="4371"/>
      <c r="B120" s="2768" t="s">
        <v>219</v>
      </c>
      <c r="C120" s="4375"/>
      <c r="D120" s="3643">
        <f t="shared" si="105"/>
        <v>31750518</v>
      </c>
      <c r="E120" s="3651"/>
      <c r="F120" s="3651"/>
      <c r="G120" s="3651"/>
      <c r="H120" s="3651"/>
      <c r="I120" s="3651"/>
      <c r="J120" s="3651"/>
      <c r="K120" s="3651"/>
      <c r="L120" s="3651"/>
      <c r="M120" s="3651">
        <v>0</v>
      </c>
      <c r="N120" s="3651">
        <v>0</v>
      </c>
      <c r="O120" s="3652">
        <f>25145+6274-18844</f>
        <v>12575</v>
      </c>
      <c r="P120" s="2118">
        <f>851713+1276394+93851+1982466</f>
        <v>4204424</v>
      </c>
      <c r="Q120" s="2775">
        <f>868747+1301922+95728+2022114+18844</f>
        <v>4307355</v>
      </c>
      <c r="R120" s="2119">
        <f>886122+1327960+97643+2062557</f>
        <v>4374282</v>
      </c>
      <c r="S120" s="2119">
        <f>903845+1354520+99595+2103807</f>
        <v>4461767</v>
      </c>
      <c r="T120" s="2119">
        <f>921922+1381610+101587+2145884</f>
        <v>4551003</v>
      </c>
      <c r="U120" s="2119">
        <v>4642023</v>
      </c>
      <c r="V120" s="2119">
        <v>2551196</v>
      </c>
      <c r="W120" s="2119">
        <v>2645893</v>
      </c>
      <c r="X120" s="3653">
        <f>P120+Q120+R120+S120+T120+U120+V120+W120</f>
        <v>31737943</v>
      </c>
      <c r="Y120" s="4440"/>
      <c r="Z120" s="2004"/>
      <c r="AA120" s="2070"/>
    </row>
    <row r="121" spans="1:30" s="2029" customFormat="1" hidden="1">
      <c r="A121" s="4371"/>
      <c r="B121" s="2769" t="s">
        <v>220</v>
      </c>
      <c r="C121" s="4375"/>
      <c r="D121" s="3643">
        <f t="shared" si="105"/>
        <v>0</v>
      </c>
      <c r="E121" s="3654"/>
      <c r="F121" s="3654"/>
      <c r="G121" s="3654"/>
      <c r="H121" s="3654"/>
      <c r="I121" s="3654"/>
      <c r="J121" s="3654"/>
      <c r="K121" s="3654"/>
      <c r="L121" s="3654"/>
      <c r="M121" s="3654"/>
      <c r="N121" s="3654"/>
      <c r="O121" s="3654"/>
      <c r="P121" s="3654"/>
      <c r="Q121" s="3654"/>
      <c r="R121" s="3654"/>
      <c r="S121" s="3654"/>
      <c r="T121" s="3654"/>
      <c r="U121" s="3654"/>
      <c r="V121" s="3654"/>
      <c r="W121" s="3654"/>
      <c r="X121" s="3649">
        <f>P121+Q121+R121+S121+T121</f>
        <v>0</v>
      </c>
      <c r="Y121" s="4440"/>
      <c r="Z121" s="2004"/>
      <c r="AA121" s="2070"/>
    </row>
    <row r="122" spans="1:30" s="2029" customFormat="1">
      <c r="A122" s="4371"/>
      <c r="B122" s="3655" t="s">
        <v>45</v>
      </c>
      <c r="C122" s="4375"/>
      <c r="D122" s="3643">
        <f t="shared" si="105"/>
        <v>3946881</v>
      </c>
      <c r="E122" s="3644">
        <f t="shared" ref="E122:W122" si="108">E123+E124</f>
        <v>0</v>
      </c>
      <c r="F122" s="3644">
        <f t="shared" si="108"/>
        <v>0</v>
      </c>
      <c r="G122" s="3644">
        <f t="shared" si="108"/>
        <v>0</v>
      </c>
      <c r="H122" s="3644">
        <f t="shared" si="108"/>
        <v>0</v>
      </c>
      <c r="I122" s="3644">
        <f t="shared" si="108"/>
        <v>0</v>
      </c>
      <c r="J122" s="3644">
        <f t="shared" si="108"/>
        <v>0</v>
      </c>
      <c r="K122" s="3644">
        <f t="shared" si="108"/>
        <v>0</v>
      </c>
      <c r="L122" s="3644">
        <f t="shared" si="108"/>
        <v>0</v>
      </c>
      <c r="M122" s="3627">
        <f>+E122+I122+J122+K122+L122+N122</f>
        <v>0</v>
      </c>
      <c r="N122" s="3644">
        <f t="shared" si="108"/>
        <v>0</v>
      </c>
      <c r="O122" s="3644">
        <f t="shared" si="108"/>
        <v>0</v>
      </c>
      <c r="P122" s="3644">
        <f t="shared" si="108"/>
        <v>606458</v>
      </c>
      <c r="Q122" s="3644">
        <f t="shared" si="108"/>
        <v>475964</v>
      </c>
      <c r="R122" s="3644">
        <f t="shared" si="108"/>
        <v>511973</v>
      </c>
      <c r="S122" s="3644">
        <f t="shared" si="108"/>
        <v>470498</v>
      </c>
      <c r="T122" s="3644">
        <f t="shared" si="108"/>
        <v>470497</v>
      </c>
      <c r="U122" s="3644">
        <f t="shared" si="108"/>
        <v>470497</v>
      </c>
      <c r="V122" s="3644">
        <f t="shared" si="108"/>
        <v>470497</v>
      </c>
      <c r="W122" s="3644">
        <f t="shared" si="108"/>
        <v>470497</v>
      </c>
      <c r="X122" s="3656">
        <f t="shared" ref="X122" si="109">X123+X124</f>
        <v>0</v>
      </c>
      <c r="Y122" s="4440"/>
      <c r="Z122" s="2004"/>
      <c r="AA122" s="2070"/>
    </row>
    <row r="123" spans="1:30" s="2029" customFormat="1" hidden="1">
      <c r="A123" s="4371"/>
      <c r="B123" s="2770" t="s">
        <v>472</v>
      </c>
      <c r="C123" s="4375"/>
      <c r="D123" s="3657">
        <f>M123+N123+O123+P123+Q123+R123+S123+T123+U123+V123+W123</f>
        <v>575333</v>
      </c>
      <c r="E123" s="3657"/>
      <c r="F123" s="3657"/>
      <c r="G123" s="3657"/>
      <c r="H123" s="3657"/>
      <c r="I123" s="3657"/>
      <c r="J123" s="3657"/>
      <c r="K123" s="3657"/>
      <c r="L123" s="3657"/>
      <c r="M123" s="3657"/>
      <c r="N123" s="3657"/>
      <c r="O123" s="3658">
        <f>42324-42324</f>
        <v>0</v>
      </c>
      <c r="P123" s="2777">
        <f>70707+28533</f>
        <v>99240</v>
      </c>
      <c r="Q123" s="2777">
        <f>70632+15201</f>
        <v>85833</v>
      </c>
      <c r="R123" s="2123">
        <v>70167</v>
      </c>
      <c r="S123" s="2123">
        <v>64019</v>
      </c>
      <c r="T123" s="2123">
        <v>64019</v>
      </c>
      <c r="U123" s="2123">
        <v>64019</v>
      </c>
      <c r="V123" s="2123">
        <v>64018</v>
      </c>
      <c r="W123" s="2123">
        <v>64018</v>
      </c>
      <c r="X123" s="3659">
        <v>0</v>
      </c>
      <c r="Y123" s="4440"/>
      <c r="Z123" s="2004"/>
      <c r="AA123" s="2070"/>
    </row>
    <row r="124" spans="1:30" s="2029" customFormat="1" hidden="1">
      <c r="A124" s="4371"/>
      <c r="B124" s="2770" t="s">
        <v>473</v>
      </c>
      <c r="C124" s="4375"/>
      <c r="D124" s="3657">
        <f>M124+N124+O124+P124+Q124+R124+S124+T124+U124+V124+W124</f>
        <v>3371548</v>
      </c>
      <c r="E124" s="3657"/>
      <c r="F124" s="3657"/>
      <c r="G124" s="3657"/>
      <c r="H124" s="3657"/>
      <c r="I124" s="3657"/>
      <c r="J124" s="3657"/>
      <c r="K124" s="3657"/>
      <c r="L124" s="3657"/>
      <c r="M124" s="3657"/>
      <c r="N124" s="3657"/>
      <c r="O124" s="3658">
        <f>88661-88661</f>
        <v>0</v>
      </c>
      <c r="P124" s="2777">
        <f>303188+204030</f>
        <v>507218</v>
      </c>
      <c r="Q124" s="2777">
        <f>390656-525</f>
        <v>390131</v>
      </c>
      <c r="R124" s="2778">
        <f>441506+300</f>
        <v>441806</v>
      </c>
      <c r="S124" s="2123">
        <v>406479</v>
      </c>
      <c r="T124" s="2123">
        <v>406478</v>
      </c>
      <c r="U124" s="2123">
        <v>406478</v>
      </c>
      <c r="V124" s="2123">
        <v>406479</v>
      </c>
      <c r="W124" s="2123">
        <v>406479</v>
      </c>
      <c r="X124" s="3659">
        <v>0</v>
      </c>
      <c r="Y124" s="4440"/>
      <c r="Z124" s="2004"/>
      <c r="AA124" s="2070"/>
    </row>
    <row r="125" spans="1:30" s="2029" customFormat="1">
      <c r="A125" s="4371"/>
      <c r="B125" s="1851" t="s">
        <v>30</v>
      </c>
      <c r="C125" s="4375"/>
      <c r="D125" s="3630">
        <f>+D126</f>
        <v>180993258</v>
      </c>
      <c r="E125" s="3630">
        <f t="shared" ref="E125:X125" si="110">+E126</f>
        <v>0</v>
      </c>
      <c r="F125" s="3624">
        <f t="shared" si="110"/>
        <v>0</v>
      </c>
      <c r="G125" s="3624">
        <f t="shared" si="110"/>
        <v>0</v>
      </c>
      <c r="H125" s="3624">
        <f t="shared" si="110"/>
        <v>0</v>
      </c>
      <c r="I125" s="3625">
        <f t="shared" si="110"/>
        <v>0</v>
      </c>
      <c r="J125" s="3625">
        <f t="shared" si="110"/>
        <v>0</v>
      </c>
      <c r="K125" s="3625">
        <f>+K126</f>
        <v>0</v>
      </c>
      <c r="L125" s="3625">
        <f t="shared" si="110"/>
        <v>0</v>
      </c>
      <c r="M125" s="3630">
        <f t="shared" si="110"/>
        <v>0</v>
      </c>
      <c r="N125" s="3630">
        <f t="shared" si="110"/>
        <v>0</v>
      </c>
      <c r="O125" s="3630">
        <f t="shared" si="110"/>
        <v>83078</v>
      </c>
      <c r="P125" s="3630">
        <f>+P126</f>
        <v>23243411</v>
      </c>
      <c r="Q125" s="3630">
        <f>+Q126</f>
        <v>23173797</v>
      </c>
      <c r="R125" s="3033">
        <f t="shared" si="110"/>
        <v>23216678</v>
      </c>
      <c r="S125" s="3033">
        <f t="shared" si="110"/>
        <v>21709994</v>
      </c>
      <c r="T125" s="3033">
        <f t="shared" si="110"/>
        <v>21977228</v>
      </c>
      <c r="U125" s="3033">
        <f t="shared" si="110"/>
        <v>22249810</v>
      </c>
      <c r="V125" s="3033">
        <f t="shared" si="110"/>
        <v>22527841</v>
      </c>
      <c r="W125" s="3033">
        <f t="shared" si="110"/>
        <v>22811421</v>
      </c>
      <c r="X125" s="3647">
        <f t="shared" si="110"/>
        <v>180910180</v>
      </c>
      <c r="Y125" s="4440"/>
      <c r="Z125" s="2125"/>
      <c r="AA125" s="2070"/>
    </row>
    <row r="126" spans="1:30" s="1942" customFormat="1" ht="13.5" thickBot="1">
      <c r="A126" s="4371"/>
      <c r="B126" s="2754" t="s">
        <v>33</v>
      </c>
      <c r="C126" s="4352"/>
      <c r="D126" s="3643">
        <f>M126+O126+P126+Q126+R126+S126+T126+U126+V126+W126</f>
        <v>180993258</v>
      </c>
      <c r="E126" s="3032">
        <f t="shared" ref="E126:X126" si="111">SUM(E128:E133)</f>
        <v>0</v>
      </c>
      <c r="F126" s="3032">
        <f t="shared" si="111"/>
        <v>0</v>
      </c>
      <c r="G126" s="3032">
        <f t="shared" si="111"/>
        <v>0</v>
      </c>
      <c r="H126" s="3032">
        <f t="shared" si="111"/>
        <v>0</v>
      </c>
      <c r="I126" s="3032">
        <f t="shared" si="111"/>
        <v>0</v>
      </c>
      <c r="J126" s="3032">
        <f t="shared" si="111"/>
        <v>0</v>
      </c>
      <c r="K126" s="3032">
        <f t="shared" si="111"/>
        <v>0</v>
      </c>
      <c r="L126" s="3032">
        <f t="shared" si="111"/>
        <v>0</v>
      </c>
      <c r="M126" s="3627">
        <f>+E126+I126+J126+K126+L126+N126</f>
        <v>0</v>
      </c>
      <c r="N126" s="3032">
        <f t="shared" si="111"/>
        <v>0</v>
      </c>
      <c r="O126" s="3032">
        <f t="shared" si="111"/>
        <v>83078</v>
      </c>
      <c r="P126" s="3032">
        <f t="shared" si="111"/>
        <v>23243411</v>
      </c>
      <c r="Q126" s="3032">
        <f t="shared" si="111"/>
        <v>23173797</v>
      </c>
      <c r="R126" s="3032">
        <f t="shared" si="111"/>
        <v>23216678</v>
      </c>
      <c r="S126" s="3032">
        <f t="shared" si="111"/>
        <v>21709994</v>
      </c>
      <c r="T126" s="3032">
        <f t="shared" si="111"/>
        <v>21977228</v>
      </c>
      <c r="U126" s="3032">
        <f t="shared" ref="U126:W126" si="112">SUM(U128:U133)</f>
        <v>22249810</v>
      </c>
      <c r="V126" s="3032">
        <f t="shared" si="112"/>
        <v>22527841</v>
      </c>
      <c r="W126" s="3032">
        <f t="shared" si="112"/>
        <v>22811421</v>
      </c>
      <c r="X126" s="3645">
        <f t="shared" si="111"/>
        <v>180910180</v>
      </c>
      <c r="Y126" s="4440"/>
      <c r="Z126" s="2073"/>
      <c r="AA126" s="2070"/>
      <c r="AD126" s="2080"/>
    </row>
    <row r="127" spans="1:30" s="1942" customFormat="1" hidden="1">
      <c r="A127" s="4371"/>
      <c r="B127" s="2754" t="s">
        <v>216</v>
      </c>
      <c r="C127" s="3660"/>
      <c r="D127" s="3032"/>
      <c r="E127" s="3627"/>
      <c r="F127" s="3661"/>
      <c r="G127" s="3661"/>
      <c r="H127" s="3661"/>
      <c r="I127" s="3629"/>
      <c r="J127" s="3629"/>
      <c r="K127" s="3629"/>
      <c r="L127" s="3629"/>
      <c r="M127" s="3627"/>
      <c r="N127" s="3627"/>
      <c r="O127" s="3627"/>
      <c r="P127" s="3662"/>
      <c r="Q127" s="3662"/>
      <c r="R127" s="3662"/>
      <c r="S127" s="3662"/>
      <c r="T127" s="3662"/>
      <c r="U127" s="3662"/>
      <c r="V127" s="3662"/>
      <c r="W127" s="3662"/>
      <c r="X127" s="2354"/>
      <c r="Y127" s="4440"/>
      <c r="Z127" s="2073"/>
      <c r="AA127" s="2070"/>
      <c r="AD127" s="804"/>
    </row>
    <row r="128" spans="1:30" s="1942" customFormat="1" hidden="1">
      <c r="A128" s="4371"/>
      <c r="B128" s="2766" t="s">
        <v>217</v>
      </c>
      <c r="C128" s="2129"/>
      <c r="D128" s="2130">
        <f t="shared" ref="D128:D133" si="113">+E128+I128+J128+K128+L128+N128+O128+P128+Q128+R128+S128+T128+U128+V128+W128</f>
        <v>16465384</v>
      </c>
      <c r="E128" s="2131"/>
      <c r="F128" s="2131"/>
      <c r="G128" s="2131"/>
      <c r="H128" s="2131"/>
      <c r="I128" s="2131"/>
      <c r="J128" s="2131"/>
      <c r="K128" s="2131"/>
      <c r="L128" s="2131"/>
      <c r="M128" s="2131"/>
      <c r="N128" s="2131"/>
      <c r="O128" s="2779">
        <f>140250-133832</f>
        <v>6418</v>
      </c>
      <c r="P128" s="2779">
        <f>2407721+10000000-10000000</f>
        <v>2407721</v>
      </c>
      <c r="Q128" s="2779">
        <f>2407721+10000000-9866168</f>
        <v>2541553</v>
      </c>
      <c r="R128" s="2132">
        <v>2407721</v>
      </c>
      <c r="S128" s="2132">
        <v>1820395</v>
      </c>
      <c r="T128" s="2132">
        <v>1820395</v>
      </c>
      <c r="U128" s="2132">
        <v>1820395</v>
      </c>
      <c r="V128" s="2132">
        <v>1820395</v>
      </c>
      <c r="W128" s="2132">
        <v>1820391</v>
      </c>
      <c r="X128" s="2133">
        <f t="shared" ref="X128:X133" si="114">P128+Q128+R128+S128+T128+U128+V128+W128</f>
        <v>16458966</v>
      </c>
      <c r="Y128" s="4440"/>
      <c r="Z128" s="2004"/>
      <c r="AA128" s="2070"/>
      <c r="AD128" s="804"/>
    </row>
    <row r="129" spans="1:30" s="1942" customFormat="1" hidden="1">
      <c r="A129" s="4371"/>
      <c r="B129" s="2767" t="s">
        <v>218</v>
      </c>
      <c r="C129" s="3663"/>
      <c r="D129" s="2130">
        <f t="shared" si="113"/>
        <v>17103503</v>
      </c>
      <c r="E129" s="3650"/>
      <c r="F129" s="3650"/>
      <c r="G129" s="3650"/>
      <c r="H129" s="3650"/>
      <c r="I129" s="3650"/>
      <c r="J129" s="3650"/>
      <c r="K129" s="3650"/>
      <c r="L129" s="3650"/>
      <c r="M129" s="3650"/>
      <c r="N129" s="3650"/>
      <c r="O129" s="3664">
        <f>182812-177406</f>
        <v>5406</v>
      </c>
      <c r="P129" s="3650">
        <v>2618000</v>
      </c>
      <c r="Q129" s="3664">
        <f>2618000+177406</f>
        <v>2795406</v>
      </c>
      <c r="R129" s="3650">
        <v>2618000</v>
      </c>
      <c r="S129" s="3650">
        <v>1813339</v>
      </c>
      <c r="T129" s="3650">
        <v>1813339</v>
      </c>
      <c r="U129" s="3650">
        <v>1813339</v>
      </c>
      <c r="V129" s="3650">
        <v>1813339</v>
      </c>
      <c r="W129" s="3650">
        <v>1813335</v>
      </c>
      <c r="X129" s="2133">
        <f t="shared" si="114"/>
        <v>17098097</v>
      </c>
      <c r="Y129" s="4440"/>
      <c r="Z129" s="2004"/>
      <c r="AA129" s="2070"/>
      <c r="AD129" s="804"/>
    </row>
    <row r="130" spans="1:30" s="2096" customFormat="1" hidden="1">
      <c r="A130" s="4371"/>
      <c r="B130" s="2768" t="s">
        <v>219</v>
      </c>
      <c r="C130" s="3665"/>
      <c r="D130" s="3651">
        <f t="shared" si="113"/>
        <v>108247020</v>
      </c>
      <c r="E130" s="3651"/>
      <c r="F130" s="3651"/>
      <c r="G130" s="3651"/>
      <c r="H130" s="3651"/>
      <c r="I130" s="3651"/>
      <c r="J130" s="3651"/>
      <c r="K130" s="3651"/>
      <c r="L130" s="3651"/>
      <c r="M130" s="3651"/>
      <c r="N130" s="3651"/>
      <c r="O130" s="2780">
        <f>142489+35554-106789</f>
        <v>71254</v>
      </c>
      <c r="P130" s="2137">
        <f>4826373+7232899+531823</f>
        <v>12591095</v>
      </c>
      <c r="Q130" s="2781">
        <f>4922901+7377557+542459+106789</f>
        <v>12949706</v>
      </c>
      <c r="R130" s="2137">
        <f>5021358+7525108+553309</f>
        <v>13099775</v>
      </c>
      <c r="S130" s="2137">
        <f>5121786+7675610+564375</f>
        <v>13361771</v>
      </c>
      <c r="T130" s="2137">
        <f>5224221+7829122+575662</f>
        <v>13629005</v>
      </c>
      <c r="U130" s="2137">
        <v>13901587</v>
      </c>
      <c r="V130" s="2137">
        <v>14179618</v>
      </c>
      <c r="W130" s="2137">
        <v>14463209</v>
      </c>
      <c r="X130" s="3653">
        <f t="shared" si="114"/>
        <v>108175766</v>
      </c>
      <c r="Y130" s="4440"/>
      <c r="Z130" s="2004"/>
      <c r="AA130" s="2070"/>
      <c r="AD130" s="2097"/>
    </row>
    <row r="131" spans="1:30" s="2096" customFormat="1" hidden="1">
      <c r="A131" s="4371"/>
      <c r="B131" s="3666" t="s">
        <v>220</v>
      </c>
      <c r="C131" s="3667"/>
      <c r="D131" s="2130">
        <f t="shared" si="113"/>
        <v>16811692</v>
      </c>
      <c r="E131" s="3654"/>
      <c r="F131" s="3654"/>
      <c r="G131" s="3654"/>
      <c r="H131" s="3654"/>
      <c r="I131" s="3654"/>
      <c r="J131" s="3654"/>
      <c r="K131" s="3654"/>
      <c r="L131" s="3654"/>
      <c r="M131" s="3654">
        <f>+E131+I131+J131+K131+L131</f>
        <v>0</v>
      </c>
      <c r="N131" s="3654"/>
      <c r="O131" s="3654"/>
      <c r="P131" s="3654">
        <v>2190000</v>
      </c>
      <c r="Q131" s="3654">
        <v>2190000</v>
      </c>
      <c r="R131" s="3654">
        <v>2190000</v>
      </c>
      <c r="S131" s="3654">
        <v>2048339</v>
      </c>
      <c r="T131" s="3654">
        <v>2048339</v>
      </c>
      <c r="U131" s="3654">
        <v>2048339</v>
      </c>
      <c r="V131" s="3654">
        <v>2048339</v>
      </c>
      <c r="W131" s="3654">
        <v>2048336</v>
      </c>
      <c r="X131" s="2133">
        <f t="shared" si="114"/>
        <v>16811692</v>
      </c>
      <c r="Y131" s="4440"/>
      <c r="Z131" s="2004"/>
      <c r="AA131" s="2070"/>
      <c r="AD131" s="2097"/>
    </row>
    <row r="132" spans="1:30" s="2096" customFormat="1" hidden="1">
      <c r="A132" s="4371"/>
      <c r="B132" s="2770" t="s">
        <v>526</v>
      </c>
      <c r="C132" s="3668"/>
      <c r="D132" s="2130">
        <f t="shared" si="113"/>
        <v>3260222</v>
      </c>
      <c r="E132" s="3657"/>
      <c r="F132" s="3657"/>
      <c r="G132" s="3657"/>
      <c r="H132" s="3657"/>
      <c r="I132" s="3657"/>
      <c r="J132" s="3657"/>
      <c r="K132" s="3657"/>
      <c r="L132" s="3657"/>
      <c r="M132" s="3657"/>
      <c r="N132" s="3657"/>
      <c r="O132" s="2782">
        <f>239836-239836</f>
        <v>0</v>
      </c>
      <c r="P132" s="2783">
        <f>400673+161686</f>
        <v>562359</v>
      </c>
      <c r="Q132" s="2782">
        <f>400248+86140</f>
        <v>486388</v>
      </c>
      <c r="R132" s="2140">
        <v>397613</v>
      </c>
      <c r="S132" s="2140">
        <v>362772</v>
      </c>
      <c r="T132" s="2140">
        <v>362772</v>
      </c>
      <c r="U132" s="2140">
        <v>362772</v>
      </c>
      <c r="V132" s="2140">
        <v>362773</v>
      </c>
      <c r="W132" s="2140">
        <v>362773</v>
      </c>
      <c r="X132" s="2133">
        <f t="shared" si="114"/>
        <v>3260222</v>
      </c>
      <c r="Y132" s="4440"/>
      <c r="Z132" s="2004"/>
      <c r="AA132" s="2070"/>
      <c r="AD132" s="2097"/>
    </row>
    <row r="133" spans="1:30" s="2096" customFormat="1" hidden="1">
      <c r="A133" s="4371"/>
      <c r="B133" s="2770" t="s">
        <v>527</v>
      </c>
      <c r="C133" s="3669"/>
      <c r="D133" s="2130">
        <f t="shared" si="113"/>
        <v>19105437</v>
      </c>
      <c r="E133" s="3657"/>
      <c r="F133" s="3657"/>
      <c r="G133" s="3657"/>
      <c r="H133" s="3657"/>
      <c r="I133" s="3657"/>
      <c r="J133" s="3657"/>
      <c r="K133" s="3657"/>
      <c r="L133" s="3657"/>
      <c r="M133" s="3657"/>
      <c r="N133" s="3657"/>
      <c r="O133" s="2782">
        <f>502414-502414</f>
        <v>0</v>
      </c>
      <c r="P133" s="2783">
        <f>1718064+1156172</f>
        <v>2874236</v>
      </c>
      <c r="Q133" s="2782">
        <f>2213719-2975</f>
        <v>2210744</v>
      </c>
      <c r="R133" s="2783">
        <f>2501869+1700</f>
        <v>2503569</v>
      </c>
      <c r="S133" s="2140">
        <v>2303378</v>
      </c>
      <c r="T133" s="2140">
        <v>2303378</v>
      </c>
      <c r="U133" s="2140">
        <v>2303378</v>
      </c>
      <c r="V133" s="2140">
        <v>2303377</v>
      </c>
      <c r="W133" s="2140">
        <v>2303377</v>
      </c>
      <c r="X133" s="2133">
        <f t="shared" si="114"/>
        <v>19105437</v>
      </c>
      <c r="Y133" s="4440"/>
      <c r="Z133" s="2004"/>
      <c r="AA133" s="2070"/>
      <c r="AD133" s="2097"/>
    </row>
    <row r="134" spans="1:30" s="1942" customFormat="1" ht="16.5" customHeight="1">
      <c r="A134" s="4104"/>
      <c r="B134" s="1868" t="s">
        <v>34</v>
      </c>
      <c r="C134" s="799"/>
      <c r="D134" s="2142">
        <f>+D135</f>
        <v>180993258</v>
      </c>
      <c r="E134" s="2142">
        <f t="shared" ref="E134:W134" si="115">+E135</f>
        <v>0</v>
      </c>
      <c r="F134" s="2143">
        <f t="shared" si="115"/>
        <v>0</v>
      </c>
      <c r="G134" s="2143">
        <f t="shared" si="115"/>
        <v>2563346</v>
      </c>
      <c r="H134" s="2143">
        <f t="shared" si="115"/>
        <v>8175757</v>
      </c>
      <c r="I134" s="2144">
        <f t="shared" si="115"/>
        <v>0</v>
      </c>
      <c r="J134" s="2144">
        <f t="shared" si="115"/>
        <v>0</v>
      </c>
      <c r="K134" s="2144">
        <f t="shared" si="115"/>
        <v>0</v>
      </c>
      <c r="L134" s="2144">
        <f t="shared" si="115"/>
        <v>0</v>
      </c>
      <c r="M134" s="2142">
        <f t="shared" si="115"/>
        <v>0</v>
      </c>
      <c r="N134" s="2142">
        <f t="shared" si="115"/>
        <v>0</v>
      </c>
      <c r="O134" s="2142">
        <f t="shared" si="115"/>
        <v>0</v>
      </c>
      <c r="P134" s="2142">
        <f t="shared" si="115"/>
        <v>20616609</v>
      </c>
      <c r="Q134" s="2142">
        <f t="shared" si="115"/>
        <v>25248481</v>
      </c>
      <c r="R134" s="2142">
        <f t="shared" si="115"/>
        <v>23883866</v>
      </c>
      <c r="S134" s="3035">
        <f t="shared" si="115"/>
        <v>22064091</v>
      </c>
      <c r="T134" s="3035">
        <f t="shared" si="115"/>
        <v>21591139</v>
      </c>
      <c r="U134" s="3035">
        <f t="shared" si="115"/>
        <v>22249810</v>
      </c>
      <c r="V134" s="3035">
        <f t="shared" si="115"/>
        <v>22527841</v>
      </c>
      <c r="W134" s="3035">
        <f t="shared" si="115"/>
        <v>22811421</v>
      </c>
      <c r="X134" s="4424" t="s">
        <v>77</v>
      </c>
      <c r="Y134" s="4440"/>
      <c r="Z134" s="2146"/>
      <c r="AA134" s="2070"/>
    </row>
    <row r="135" spans="1:30" s="1942" customFormat="1">
      <c r="A135" s="4104"/>
      <c r="B135" s="3670" t="s">
        <v>30</v>
      </c>
      <c r="C135" s="4442" t="s">
        <v>471</v>
      </c>
      <c r="D135" s="3630">
        <f t="shared" ref="D135:W135" si="116">+D136</f>
        <v>180993258</v>
      </c>
      <c r="E135" s="3630">
        <f t="shared" si="116"/>
        <v>0</v>
      </c>
      <c r="F135" s="3624">
        <f t="shared" si="116"/>
        <v>0</v>
      </c>
      <c r="G135" s="3624">
        <f t="shared" si="116"/>
        <v>2563346</v>
      </c>
      <c r="H135" s="3624">
        <f t="shared" si="116"/>
        <v>8175757</v>
      </c>
      <c r="I135" s="3625">
        <f t="shared" si="116"/>
        <v>0</v>
      </c>
      <c r="J135" s="3625">
        <f t="shared" si="116"/>
        <v>0</v>
      </c>
      <c r="K135" s="3625">
        <f t="shared" si="116"/>
        <v>0</v>
      </c>
      <c r="L135" s="3625">
        <f t="shared" si="116"/>
        <v>0</v>
      </c>
      <c r="M135" s="3630">
        <f t="shared" si="116"/>
        <v>0</v>
      </c>
      <c r="N135" s="3630">
        <f t="shared" si="116"/>
        <v>0</v>
      </c>
      <c r="O135" s="3630">
        <f t="shared" si="116"/>
        <v>0</v>
      </c>
      <c r="P135" s="3630">
        <f t="shared" si="116"/>
        <v>20616609</v>
      </c>
      <c r="Q135" s="3033">
        <f t="shared" si="116"/>
        <v>25248481</v>
      </c>
      <c r="R135" s="3033">
        <f t="shared" si="116"/>
        <v>23883866</v>
      </c>
      <c r="S135" s="3033">
        <f t="shared" si="116"/>
        <v>22064091</v>
      </c>
      <c r="T135" s="3033">
        <f t="shared" si="116"/>
        <v>21591139</v>
      </c>
      <c r="U135" s="3033">
        <f t="shared" si="116"/>
        <v>22249810</v>
      </c>
      <c r="V135" s="3033">
        <f t="shared" si="116"/>
        <v>22527841</v>
      </c>
      <c r="W135" s="3033">
        <f t="shared" si="116"/>
        <v>22811421</v>
      </c>
      <c r="X135" s="4379"/>
      <c r="Y135" s="4440"/>
      <c r="Z135" s="2073"/>
      <c r="AA135" s="2070"/>
    </row>
    <row r="136" spans="1:30" s="1942" customFormat="1" ht="15.75" customHeight="1" thickBot="1">
      <c r="A136" s="4105"/>
      <c r="B136" s="2261" t="s">
        <v>33</v>
      </c>
      <c r="C136" s="4353"/>
      <c r="D136" s="1776">
        <f>M136+O136+P136+Q136+R136+S136+T136+U136+V136+W136</f>
        <v>180993258</v>
      </c>
      <c r="E136" s="797"/>
      <c r="F136" s="2062">
        <v>0</v>
      </c>
      <c r="G136" s="2062">
        <v>2563346</v>
      </c>
      <c r="H136" s="2062">
        <f>8310034-134277</f>
        <v>8175757</v>
      </c>
      <c r="I136" s="2063"/>
      <c r="J136" s="2063"/>
      <c r="K136" s="2063"/>
      <c r="L136" s="2063"/>
      <c r="M136" s="800">
        <f>+E136+I136+J136+K136+L136+N136</f>
        <v>0</v>
      </c>
      <c r="N136" s="797">
        <v>0</v>
      </c>
      <c r="O136" s="1829">
        <f>1513355-270000-1243355</f>
        <v>0</v>
      </c>
      <c r="P136" s="1829">
        <f>30449000-8318334-1514057</f>
        <v>20616609</v>
      </c>
      <c r="Q136" s="1829">
        <f>51433208-8318334-17866393</f>
        <v>25248481</v>
      </c>
      <c r="R136" s="1829">
        <f>30885930-8318334+1316270</f>
        <v>23883866</v>
      </c>
      <c r="S136" s="1829">
        <f>29939078-8229084+354097</f>
        <v>22064091</v>
      </c>
      <c r="T136" s="1829">
        <f>30223312-8246084-386089</f>
        <v>21591139</v>
      </c>
      <c r="U136" s="797">
        <f>30407494-8157684</f>
        <v>22249810</v>
      </c>
      <c r="V136" s="797">
        <f>30073524-7545683</f>
        <v>22527841</v>
      </c>
      <c r="W136" s="797">
        <f>30175721-7364300</f>
        <v>22811421</v>
      </c>
      <c r="X136" s="4380"/>
      <c r="Y136" s="4441"/>
      <c r="Z136" s="2004"/>
      <c r="AA136" s="2004"/>
    </row>
    <row r="137" spans="1:30" s="1942" customFormat="1" ht="28.5" customHeight="1">
      <c r="A137" s="4064" t="s">
        <v>106</v>
      </c>
      <c r="B137" s="1828" t="s">
        <v>502</v>
      </c>
      <c r="C137" s="772" t="s">
        <v>98</v>
      </c>
      <c r="D137" s="2329"/>
      <c r="E137" s="2323"/>
      <c r="F137" s="2324"/>
      <c r="G137" s="2324"/>
      <c r="H137" s="2325"/>
      <c r="I137" s="2326"/>
      <c r="J137" s="2327"/>
      <c r="K137" s="2326"/>
      <c r="L137" s="2326"/>
      <c r="M137" s="2322"/>
      <c r="N137" s="2322"/>
      <c r="O137" s="2322"/>
      <c r="P137" s="2323"/>
      <c r="Q137" s="2323"/>
      <c r="R137" s="2323"/>
      <c r="S137" s="2323"/>
      <c r="T137" s="2323"/>
      <c r="U137" s="2323"/>
      <c r="V137" s="2323"/>
      <c r="W137" s="2328"/>
      <c r="X137" s="2068"/>
      <c r="Y137" s="4432" t="s">
        <v>222</v>
      </c>
      <c r="Z137" s="2004"/>
    </row>
    <row r="138" spans="1:30" s="1942" customFormat="1" ht="17.25" customHeight="1">
      <c r="A138" s="4371"/>
      <c r="B138" s="1822" t="s">
        <v>22</v>
      </c>
      <c r="C138" s="798"/>
      <c r="D138" s="2111">
        <f t="shared" ref="D138:X138" si="117">+D143+D139</f>
        <v>1580196</v>
      </c>
      <c r="E138" s="2111">
        <f t="shared" si="117"/>
        <v>0</v>
      </c>
      <c r="F138" s="2111">
        <f t="shared" si="117"/>
        <v>0</v>
      </c>
      <c r="G138" s="2111">
        <f t="shared" si="117"/>
        <v>0</v>
      </c>
      <c r="H138" s="2111">
        <f t="shared" si="117"/>
        <v>0</v>
      </c>
      <c r="I138" s="2111">
        <f t="shared" si="117"/>
        <v>0</v>
      </c>
      <c r="J138" s="2111">
        <f t="shared" si="117"/>
        <v>0</v>
      </c>
      <c r="K138" s="2111">
        <f t="shared" si="117"/>
        <v>0</v>
      </c>
      <c r="L138" s="2111">
        <f t="shared" si="117"/>
        <v>0</v>
      </c>
      <c r="M138" s="2111">
        <f t="shared" si="117"/>
        <v>0</v>
      </c>
      <c r="N138" s="2111">
        <f t="shared" si="117"/>
        <v>0</v>
      </c>
      <c r="O138" s="2111">
        <f t="shared" si="117"/>
        <v>0</v>
      </c>
      <c r="P138" s="2111">
        <f t="shared" si="117"/>
        <v>397196</v>
      </c>
      <c r="Q138" s="2111">
        <f t="shared" si="117"/>
        <v>171500</v>
      </c>
      <c r="R138" s="2111">
        <f t="shared" si="117"/>
        <v>171500</v>
      </c>
      <c r="S138" s="2111">
        <f t="shared" si="117"/>
        <v>168000</v>
      </c>
      <c r="T138" s="2111">
        <f t="shared" si="117"/>
        <v>168000</v>
      </c>
      <c r="U138" s="2111">
        <f t="shared" ref="U138:W138" si="118">+U143+U139</f>
        <v>168000</v>
      </c>
      <c r="V138" s="2111">
        <f t="shared" si="118"/>
        <v>168000</v>
      </c>
      <c r="W138" s="2111">
        <f t="shared" si="118"/>
        <v>168000</v>
      </c>
      <c r="X138" s="2112">
        <f t="shared" si="117"/>
        <v>1536967</v>
      </c>
      <c r="Y138" s="4433"/>
      <c r="Z138" s="2114"/>
    </row>
    <row r="139" spans="1:30" s="1942" customFormat="1" ht="13.5" customHeight="1">
      <c r="A139" s="4371"/>
      <c r="B139" s="1823" t="s">
        <v>36</v>
      </c>
      <c r="C139" s="4431" t="s">
        <v>482</v>
      </c>
      <c r="D139" s="2113">
        <f>+D140</f>
        <v>43229</v>
      </c>
      <c r="E139" s="2113">
        <f t="shared" ref="E139:W139" si="119">+E140</f>
        <v>0</v>
      </c>
      <c r="F139" s="2113">
        <f t="shared" si="119"/>
        <v>0</v>
      </c>
      <c r="G139" s="2113">
        <f t="shared" si="119"/>
        <v>0</v>
      </c>
      <c r="H139" s="2113">
        <f t="shared" si="119"/>
        <v>0</v>
      </c>
      <c r="I139" s="2113">
        <f t="shared" si="119"/>
        <v>0</v>
      </c>
      <c r="J139" s="2113">
        <f t="shared" si="119"/>
        <v>0</v>
      </c>
      <c r="K139" s="2113">
        <f t="shared" si="119"/>
        <v>0</v>
      </c>
      <c r="L139" s="2113">
        <f t="shared" si="119"/>
        <v>0</v>
      </c>
      <c r="M139" s="2113">
        <f t="shared" si="119"/>
        <v>0</v>
      </c>
      <c r="N139" s="2113">
        <f t="shared" si="119"/>
        <v>0</v>
      </c>
      <c r="O139" s="2113">
        <f t="shared" si="119"/>
        <v>0</v>
      </c>
      <c r="P139" s="2113">
        <f t="shared" si="119"/>
        <v>35354</v>
      </c>
      <c r="Q139" s="2113">
        <f t="shared" si="119"/>
        <v>1500</v>
      </c>
      <c r="R139" s="2113">
        <f t="shared" si="119"/>
        <v>1500</v>
      </c>
      <c r="S139" s="2113">
        <f t="shared" si="119"/>
        <v>975</v>
      </c>
      <c r="T139" s="2113">
        <f t="shared" si="119"/>
        <v>975</v>
      </c>
      <c r="U139" s="2113">
        <f t="shared" si="119"/>
        <v>975</v>
      </c>
      <c r="V139" s="2113">
        <f t="shared" si="119"/>
        <v>975</v>
      </c>
      <c r="W139" s="2113">
        <f t="shared" si="119"/>
        <v>975</v>
      </c>
      <c r="X139" s="2147">
        <f>+X140</f>
        <v>0</v>
      </c>
      <c r="Y139" s="4433"/>
      <c r="Z139" s="2004"/>
    </row>
    <row r="140" spans="1:30" s="1942" customFormat="1" ht="13.5" customHeight="1">
      <c r="A140" s="4371"/>
      <c r="B140" s="2772" t="s">
        <v>45</v>
      </c>
      <c r="C140" s="4375"/>
      <c r="D140" s="2074">
        <f>M140+O140+P140+Q140+R140+S140+T140+U140+V140+W140</f>
        <v>43229</v>
      </c>
      <c r="E140" s="2115">
        <f t="shared" ref="E140" si="120">E141+E142</f>
        <v>0</v>
      </c>
      <c r="F140" s="2115">
        <f t="shared" ref="F140" si="121">F141+F142</f>
        <v>0</v>
      </c>
      <c r="G140" s="2115">
        <f t="shared" ref="G140" si="122">G141+G142</f>
        <v>0</v>
      </c>
      <c r="H140" s="2115">
        <f t="shared" ref="H140" si="123">H141+H142</f>
        <v>0</v>
      </c>
      <c r="I140" s="2115">
        <f t="shared" ref="I140" si="124">I141+I142</f>
        <v>0</v>
      </c>
      <c r="J140" s="2115">
        <f t="shared" ref="J140" si="125">J141+J142</f>
        <v>0</v>
      </c>
      <c r="K140" s="2115">
        <f t="shared" ref="K140" si="126">K141+K142</f>
        <v>0</v>
      </c>
      <c r="L140" s="2115">
        <f t="shared" ref="L140" si="127">L141+L142</f>
        <v>0</v>
      </c>
      <c r="M140" s="2049">
        <f>+E140+I140+J140+K140+L140+N140</f>
        <v>0</v>
      </c>
      <c r="N140" s="2115">
        <f t="shared" ref="N140" si="128">N141+N142</f>
        <v>0</v>
      </c>
      <c r="O140" s="2115">
        <f t="shared" ref="O140" si="129">O141+O142</f>
        <v>0</v>
      </c>
      <c r="P140" s="2115">
        <f t="shared" ref="P140" si="130">P141+P142</f>
        <v>35354</v>
      </c>
      <c r="Q140" s="2115">
        <f t="shared" ref="Q140" si="131">Q141+Q142</f>
        <v>1500</v>
      </c>
      <c r="R140" s="2115">
        <f t="shared" ref="R140" si="132">R141+R142</f>
        <v>1500</v>
      </c>
      <c r="S140" s="2115">
        <f t="shared" ref="S140" si="133">S141+S142</f>
        <v>975</v>
      </c>
      <c r="T140" s="2115">
        <f t="shared" ref="T140:W140" si="134">T141+T142</f>
        <v>975</v>
      </c>
      <c r="U140" s="2115">
        <f t="shared" si="134"/>
        <v>975</v>
      </c>
      <c r="V140" s="2115">
        <f t="shared" si="134"/>
        <v>975</v>
      </c>
      <c r="W140" s="2115">
        <f t="shared" si="134"/>
        <v>975</v>
      </c>
      <c r="X140" s="2121">
        <f t="shared" ref="X140" si="135">X141+X142</f>
        <v>0</v>
      </c>
      <c r="Y140" s="4433"/>
      <c r="Z140" s="2004"/>
    </row>
    <row r="141" spans="1:30" s="1942" customFormat="1" ht="13.5" hidden="1" customHeight="1">
      <c r="A141" s="4371"/>
      <c r="B141" s="2770" t="s">
        <v>472</v>
      </c>
      <c r="C141" s="4375"/>
      <c r="D141" s="2122">
        <f>M141+N141+O141+P141+Q141+R141+S141+T141+U141+V141+W141</f>
        <v>8760</v>
      </c>
      <c r="E141" s="2122"/>
      <c r="F141" s="2122"/>
      <c r="G141" s="2122"/>
      <c r="H141" s="2122"/>
      <c r="I141" s="2122"/>
      <c r="J141" s="2122"/>
      <c r="K141" s="2122"/>
      <c r="L141" s="2122"/>
      <c r="M141" s="2122"/>
      <c r="N141" s="2122"/>
      <c r="O141" s="2776">
        <f>7350-7350</f>
        <v>0</v>
      </c>
      <c r="P141" s="2777">
        <f>1410+7350</f>
        <v>8760</v>
      </c>
      <c r="Q141" s="2777">
        <f>1410-1410</f>
        <v>0</v>
      </c>
      <c r="R141" s="2123"/>
      <c r="S141" s="2123"/>
      <c r="T141" s="2123"/>
      <c r="U141" s="2123"/>
      <c r="V141" s="2123"/>
      <c r="W141" s="2123"/>
      <c r="X141" s="2124">
        <v>0</v>
      </c>
      <c r="Y141" s="4433"/>
      <c r="Z141" s="2004"/>
    </row>
    <row r="142" spans="1:30" s="1942" customFormat="1" ht="13.5" hidden="1" customHeight="1">
      <c r="A142" s="4371"/>
      <c r="B142" s="2770" t="s">
        <v>473</v>
      </c>
      <c r="C142" s="4375"/>
      <c r="D142" s="2122">
        <f>M142+N142+O142+P142+Q142+R142+S142+T142+U142+V142+W142</f>
        <v>34469</v>
      </c>
      <c r="E142" s="2122"/>
      <c r="F142" s="2122"/>
      <c r="G142" s="2122"/>
      <c r="H142" s="2122"/>
      <c r="I142" s="2122"/>
      <c r="J142" s="2122"/>
      <c r="K142" s="2122"/>
      <c r="L142" s="2122"/>
      <c r="M142" s="2122"/>
      <c r="N142" s="2122"/>
      <c r="O142" s="2776">
        <f>71550-71550</f>
        <v>0</v>
      </c>
      <c r="P142" s="2777">
        <f>70413-43819</f>
        <v>26594</v>
      </c>
      <c r="Q142" s="2777">
        <f>975+525</f>
        <v>1500</v>
      </c>
      <c r="R142" s="2778">
        <f>1800-300</f>
        <v>1500</v>
      </c>
      <c r="S142" s="2123">
        <v>975</v>
      </c>
      <c r="T142" s="2123">
        <v>975</v>
      </c>
      <c r="U142" s="2123">
        <v>975</v>
      </c>
      <c r="V142" s="2123">
        <v>975</v>
      </c>
      <c r="W142" s="2123">
        <v>975</v>
      </c>
      <c r="X142" s="2124">
        <v>0</v>
      </c>
      <c r="Y142" s="4433"/>
      <c r="Z142" s="2004"/>
    </row>
    <row r="143" spans="1:30" s="1942" customFormat="1" ht="13.5" customHeight="1">
      <c r="A143" s="4371"/>
      <c r="B143" s="1851" t="s">
        <v>30</v>
      </c>
      <c r="C143" s="4375"/>
      <c r="D143" s="2052">
        <f>+D144</f>
        <v>1536967</v>
      </c>
      <c r="E143" s="2052">
        <f t="shared" ref="E143:X143" si="136">+E144</f>
        <v>0</v>
      </c>
      <c r="F143" s="2044">
        <f t="shared" si="136"/>
        <v>0</v>
      </c>
      <c r="G143" s="2044">
        <f t="shared" si="136"/>
        <v>0</v>
      </c>
      <c r="H143" s="2044">
        <f t="shared" si="136"/>
        <v>0</v>
      </c>
      <c r="I143" s="2045">
        <f t="shared" si="136"/>
        <v>0</v>
      </c>
      <c r="J143" s="2045">
        <f t="shared" si="136"/>
        <v>0</v>
      </c>
      <c r="K143" s="2045">
        <f>+K144</f>
        <v>0</v>
      </c>
      <c r="L143" s="2045">
        <f t="shared" si="136"/>
        <v>0</v>
      </c>
      <c r="M143" s="2052">
        <f t="shared" si="136"/>
        <v>0</v>
      </c>
      <c r="N143" s="2052">
        <f t="shared" si="136"/>
        <v>0</v>
      </c>
      <c r="O143" s="2052">
        <f t="shared" si="136"/>
        <v>0</v>
      </c>
      <c r="P143" s="2052">
        <f>+P144</f>
        <v>361842</v>
      </c>
      <c r="Q143" s="2052">
        <f>+Q144</f>
        <v>170000</v>
      </c>
      <c r="R143" s="2067">
        <f t="shared" si="136"/>
        <v>170000</v>
      </c>
      <c r="S143" s="2067">
        <f t="shared" si="136"/>
        <v>167025</v>
      </c>
      <c r="T143" s="2067">
        <f t="shared" si="136"/>
        <v>167025</v>
      </c>
      <c r="U143" s="2067">
        <f t="shared" si="136"/>
        <v>167025</v>
      </c>
      <c r="V143" s="2067">
        <f t="shared" si="136"/>
        <v>167025</v>
      </c>
      <c r="W143" s="2067">
        <f t="shared" si="136"/>
        <v>167025</v>
      </c>
      <c r="X143" s="2072">
        <f t="shared" si="136"/>
        <v>1536967</v>
      </c>
      <c r="Y143" s="4433"/>
      <c r="Z143" s="2114"/>
    </row>
    <row r="144" spans="1:30" s="1942" customFormat="1">
      <c r="A144" s="4371"/>
      <c r="B144" s="2754" t="s">
        <v>33</v>
      </c>
      <c r="C144" s="4352"/>
      <c r="D144" s="2074">
        <f>M144+O144+P144+Q144+R144+S144+T144+U144+V144+W144</f>
        <v>1536967</v>
      </c>
      <c r="E144" s="2057">
        <f t="shared" ref="E144:T144" si="137">SUM(E146:E151)</f>
        <v>0</v>
      </c>
      <c r="F144" s="2057">
        <f t="shared" si="137"/>
        <v>0</v>
      </c>
      <c r="G144" s="2057">
        <f t="shared" si="137"/>
        <v>0</v>
      </c>
      <c r="H144" s="2057">
        <f t="shared" si="137"/>
        <v>0</v>
      </c>
      <c r="I144" s="2057">
        <f t="shared" si="137"/>
        <v>0</v>
      </c>
      <c r="J144" s="2057">
        <f t="shared" si="137"/>
        <v>0</v>
      </c>
      <c r="K144" s="2057">
        <f t="shared" si="137"/>
        <v>0</v>
      </c>
      <c r="L144" s="2057">
        <f t="shared" si="137"/>
        <v>0</v>
      </c>
      <c r="M144" s="2049">
        <f>+E144+I144+J144+K144+L144+N144</f>
        <v>0</v>
      </c>
      <c r="N144" s="2057">
        <f t="shared" si="137"/>
        <v>0</v>
      </c>
      <c r="O144" s="2057">
        <f t="shared" si="137"/>
        <v>0</v>
      </c>
      <c r="P144" s="2057">
        <f t="shared" si="137"/>
        <v>361842</v>
      </c>
      <c r="Q144" s="2057">
        <f t="shared" si="137"/>
        <v>170000</v>
      </c>
      <c r="R144" s="2057">
        <f t="shared" si="137"/>
        <v>170000</v>
      </c>
      <c r="S144" s="2057">
        <f t="shared" si="137"/>
        <v>167025</v>
      </c>
      <c r="T144" s="2057">
        <f t="shared" si="137"/>
        <v>167025</v>
      </c>
      <c r="U144" s="2057">
        <f t="shared" ref="U144:W144" si="138">SUM(U146:U151)</f>
        <v>167025</v>
      </c>
      <c r="V144" s="2057">
        <f t="shared" si="138"/>
        <v>167025</v>
      </c>
      <c r="W144" s="2057">
        <f t="shared" si="138"/>
        <v>167025</v>
      </c>
      <c r="X144" s="2016">
        <f>SUM(X146:X151)</f>
        <v>1536967</v>
      </c>
      <c r="Y144" s="4433"/>
      <c r="Z144" s="2004"/>
    </row>
    <row r="145" spans="1:26" s="1942" customFormat="1" hidden="1">
      <c r="A145" s="4371"/>
      <c r="B145" s="2754" t="s">
        <v>216</v>
      </c>
      <c r="C145" s="2126"/>
      <c r="D145" s="2057"/>
      <c r="E145" s="2049"/>
      <c r="F145" s="2127"/>
      <c r="G145" s="2127"/>
      <c r="H145" s="2127"/>
      <c r="I145" s="2051"/>
      <c r="J145" s="2051"/>
      <c r="K145" s="2051"/>
      <c r="L145" s="2051"/>
      <c r="M145" s="2049"/>
      <c r="N145" s="2049"/>
      <c r="O145" s="2049"/>
      <c r="P145" s="2128"/>
      <c r="Q145" s="2128"/>
      <c r="R145" s="2128"/>
      <c r="S145" s="2128"/>
      <c r="T145" s="2128"/>
      <c r="U145" s="2128"/>
      <c r="V145" s="2128"/>
      <c r="W145" s="2128"/>
      <c r="X145" s="2016"/>
      <c r="Y145" s="4433"/>
      <c r="Z145" s="2004"/>
    </row>
    <row r="146" spans="1:26" s="1942" customFormat="1" hidden="1">
      <c r="A146" s="4371"/>
      <c r="B146" s="2766" t="s">
        <v>217</v>
      </c>
      <c r="C146" s="2129"/>
      <c r="D146" s="2122">
        <f>M146+N146+O146+P146+Q146+R146+S146+T146+U146+V146+W146</f>
        <v>1156000</v>
      </c>
      <c r="E146" s="2131"/>
      <c r="F146" s="2131"/>
      <c r="G146" s="2131"/>
      <c r="H146" s="2131"/>
      <c r="I146" s="2131"/>
      <c r="J146" s="2131"/>
      <c r="K146" s="2131"/>
      <c r="L146" s="2131"/>
      <c r="M146" s="2131"/>
      <c r="N146" s="2131"/>
      <c r="O146" s="2132"/>
      <c r="P146" s="2132">
        <v>144500</v>
      </c>
      <c r="Q146" s="2132">
        <v>144500</v>
      </c>
      <c r="R146" s="2132">
        <v>144500</v>
      </c>
      <c r="S146" s="2132">
        <v>144500</v>
      </c>
      <c r="T146" s="2132">
        <v>144500</v>
      </c>
      <c r="U146" s="2132">
        <v>144500</v>
      </c>
      <c r="V146" s="2132">
        <v>144500</v>
      </c>
      <c r="W146" s="2132">
        <v>144500</v>
      </c>
      <c r="X146" s="2133">
        <f t="shared" ref="X146:X151" si="139">P146+Q146+R146+S146+T146+U146+V146+W146</f>
        <v>1156000</v>
      </c>
      <c r="Y146" s="4433"/>
      <c r="Z146" s="2004"/>
    </row>
    <row r="147" spans="1:26" s="1942" customFormat="1" hidden="1">
      <c r="A147" s="4371"/>
      <c r="B147" s="2767" t="s">
        <v>218</v>
      </c>
      <c r="C147" s="2134"/>
      <c r="D147" s="2122">
        <f>M147+N147+O147+P147+Q147+R147+S147+T147+U147+V147+W147</f>
        <v>136000</v>
      </c>
      <c r="E147" s="2116"/>
      <c r="F147" s="2116"/>
      <c r="G147" s="2116"/>
      <c r="H147" s="2116"/>
      <c r="I147" s="2116"/>
      <c r="J147" s="2116"/>
      <c r="K147" s="2116"/>
      <c r="L147" s="2116"/>
      <c r="M147" s="2116"/>
      <c r="N147" s="2116"/>
      <c r="O147" s="2116"/>
      <c r="P147" s="2116">
        <v>17000</v>
      </c>
      <c r="Q147" s="2116">
        <v>17000</v>
      </c>
      <c r="R147" s="2116">
        <v>17000</v>
      </c>
      <c r="S147" s="2116">
        <v>17000</v>
      </c>
      <c r="T147" s="2116">
        <v>17000</v>
      </c>
      <c r="U147" s="2116">
        <v>17000</v>
      </c>
      <c r="V147" s="2116">
        <v>17000</v>
      </c>
      <c r="W147" s="2116">
        <v>17000</v>
      </c>
      <c r="X147" s="2133">
        <f t="shared" si="139"/>
        <v>136000</v>
      </c>
      <c r="Y147" s="4433"/>
      <c r="Z147" s="2004"/>
    </row>
    <row r="148" spans="1:26" s="1942" customFormat="1" hidden="1">
      <c r="A148" s="4371"/>
      <c r="B148" s="2768" t="s">
        <v>219</v>
      </c>
      <c r="C148" s="2135"/>
      <c r="D148" s="2117">
        <f>+E148+I148+J148+K148+L148+N148+O148+P148+Q148+R148+S148+T148</f>
        <v>0</v>
      </c>
      <c r="E148" s="2117"/>
      <c r="F148" s="2117"/>
      <c r="G148" s="2117"/>
      <c r="H148" s="2117"/>
      <c r="I148" s="2117"/>
      <c r="J148" s="2117"/>
      <c r="K148" s="2117"/>
      <c r="L148" s="2117"/>
      <c r="M148" s="2117"/>
      <c r="N148" s="2117"/>
      <c r="O148" s="2136"/>
      <c r="P148" s="2137"/>
      <c r="Q148" s="2137"/>
      <c r="R148" s="2137"/>
      <c r="S148" s="2137"/>
      <c r="T148" s="2137"/>
      <c r="U148" s="2137"/>
      <c r="V148" s="2137"/>
      <c r="W148" s="2137"/>
      <c r="X148" s="2133">
        <f t="shared" si="139"/>
        <v>0</v>
      </c>
      <c r="Y148" s="4433"/>
      <c r="Z148" s="2004"/>
    </row>
    <row r="149" spans="1:26" s="1942" customFormat="1" hidden="1">
      <c r="A149" s="4371"/>
      <c r="B149" s="2771" t="s">
        <v>220</v>
      </c>
      <c r="C149" s="2138"/>
      <c r="D149" s="2148">
        <f>+E149+I149+J149+K149+L149+N149+O149+P149+Q149+R149+S149+T149</f>
        <v>0</v>
      </c>
      <c r="E149" s="2120"/>
      <c r="F149" s="2120"/>
      <c r="G149" s="2120"/>
      <c r="H149" s="2120"/>
      <c r="I149" s="2120"/>
      <c r="J149" s="2120"/>
      <c r="K149" s="2120"/>
      <c r="L149" s="2120"/>
      <c r="M149" s="2120">
        <f>+E149+I149+J149+K149+L149</f>
        <v>0</v>
      </c>
      <c r="N149" s="2120"/>
      <c r="O149" s="2120"/>
      <c r="P149" s="2120"/>
      <c r="Q149" s="2120"/>
      <c r="R149" s="2120"/>
      <c r="S149" s="2120"/>
      <c r="T149" s="2120"/>
      <c r="U149" s="2120"/>
      <c r="V149" s="2120"/>
      <c r="W149" s="2120"/>
      <c r="X149" s="2133">
        <f t="shared" si="139"/>
        <v>0</v>
      </c>
      <c r="Y149" s="4433"/>
      <c r="Z149" s="2004"/>
    </row>
    <row r="150" spans="1:26" s="1942" customFormat="1" hidden="1">
      <c r="A150" s="4371"/>
      <c r="B150" s="2770" t="s">
        <v>472</v>
      </c>
      <c r="C150" s="2139"/>
      <c r="D150" s="2122">
        <f>M150+N150+O150+P150+Q150+R150+S150+T150</f>
        <v>49640</v>
      </c>
      <c r="E150" s="2122"/>
      <c r="F150" s="2122"/>
      <c r="G150" s="2122"/>
      <c r="H150" s="2122"/>
      <c r="I150" s="2122"/>
      <c r="J150" s="2122"/>
      <c r="K150" s="2122"/>
      <c r="L150" s="2122"/>
      <c r="M150" s="2122"/>
      <c r="N150" s="2122"/>
      <c r="O150" s="2784">
        <f>41650-41650</f>
        <v>0</v>
      </c>
      <c r="P150" s="2784">
        <f>7990+41650</f>
        <v>49640</v>
      </c>
      <c r="Q150" s="2784">
        <f>7990-7990</f>
        <v>0</v>
      </c>
      <c r="R150" s="2122"/>
      <c r="S150" s="2122"/>
      <c r="T150" s="2122"/>
      <c r="U150" s="2122"/>
      <c r="V150" s="2122"/>
      <c r="W150" s="2122"/>
      <c r="X150" s="2133">
        <f t="shared" si="139"/>
        <v>49640</v>
      </c>
      <c r="Y150" s="4433"/>
      <c r="Z150" s="2004"/>
    </row>
    <row r="151" spans="1:26" s="1942" customFormat="1" hidden="1">
      <c r="A151" s="4371"/>
      <c r="B151" s="2770" t="s">
        <v>473</v>
      </c>
      <c r="C151" s="2141"/>
      <c r="D151" s="2122">
        <f>M151+N151+O151+P151+Q151+R151+S151+T151+5525+5525+5525</f>
        <v>195327</v>
      </c>
      <c r="E151" s="2122"/>
      <c r="F151" s="2122"/>
      <c r="G151" s="2122"/>
      <c r="H151" s="2122"/>
      <c r="I151" s="2122"/>
      <c r="J151" s="2122"/>
      <c r="K151" s="2122"/>
      <c r="L151" s="2122"/>
      <c r="M151" s="2122"/>
      <c r="N151" s="2122"/>
      <c r="O151" s="2784">
        <f>405450-405450</f>
        <v>0</v>
      </c>
      <c r="P151" s="2784">
        <f>399010-248308</f>
        <v>150702</v>
      </c>
      <c r="Q151" s="2784">
        <f>5525+2975</f>
        <v>8500</v>
      </c>
      <c r="R151" s="2784">
        <f>10200-1700</f>
        <v>8500</v>
      </c>
      <c r="S151" s="2122">
        <v>5525</v>
      </c>
      <c r="T151" s="2122">
        <v>5525</v>
      </c>
      <c r="U151" s="2122">
        <v>5525</v>
      </c>
      <c r="V151" s="2122">
        <v>5525</v>
      </c>
      <c r="W151" s="2122">
        <v>5525</v>
      </c>
      <c r="X151" s="2133">
        <f t="shared" si="139"/>
        <v>195327</v>
      </c>
      <c r="Y151" s="4433"/>
      <c r="Z151" s="2004"/>
    </row>
    <row r="152" spans="1:26" s="1942" customFormat="1">
      <c r="A152" s="4371"/>
      <c r="B152" s="1868" t="s">
        <v>34</v>
      </c>
      <c r="C152" s="799"/>
      <c r="D152" s="2142">
        <f>+D153</f>
        <v>1536967</v>
      </c>
      <c r="E152" s="2142">
        <f t="shared" ref="E152:W152" si="140">+E153</f>
        <v>0</v>
      </c>
      <c r="F152" s="2143">
        <f t="shared" si="140"/>
        <v>0</v>
      </c>
      <c r="G152" s="2143">
        <f t="shared" si="140"/>
        <v>0</v>
      </c>
      <c r="H152" s="2143">
        <f t="shared" si="140"/>
        <v>134277</v>
      </c>
      <c r="I152" s="2144">
        <f t="shared" si="140"/>
        <v>0</v>
      </c>
      <c r="J152" s="2144">
        <f t="shared" si="140"/>
        <v>0</v>
      </c>
      <c r="K152" s="2144">
        <f t="shared" si="140"/>
        <v>0</v>
      </c>
      <c r="L152" s="2144">
        <f t="shared" si="140"/>
        <v>0</v>
      </c>
      <c r="M152" s="2142">
        <f t="shared" si="140"/>
        <v>0</v>
      </c>
      <c r="N152" s="2142">
        <f t="shared" si="140"/>
        <v>0</v>
      </c>
      <c r="O152" s="2142">
        <f t="shared" si="140"/>
        <v>0</v>
      </c>
      <c r="P152" s="2142">
        <f t="shared" si="140"/>
        <v>361842</v>
      </c>
      <c r="Q152" s="2142">
        <f t="shared" si="140"/>
        <v>170000</v>
      </c>
      <c r="R152" s="2142">
        <f t="shared" si="140"/>
        <v>170000</v>
      </c>
      <c r="S152" s="2142">
        <f t="shared" si="140"/>
        <v>167025</v>
      </c>
      <c r="T152" s="2142">
        <f t="shared" si="140"/>
        <v>167025</v>
      </c>
      <c r="U152" s="2142">
        <f t="shared" si="140"/>
        <v>167025</v>
      </c>
      <c r="V152" s="2142">
        <f t="shared" si="140"/>
        <v>167025</v>
      </c>
      <c r="W152" s="2142">
        <f t="shared" si="140"/>
        <v>167025</v>
      </c>
      <c r="X152" s="4419" t="s">
        <v>77</v>
      </c>
      <c r="Y152" s="4433"/>
      <c r="Z152" s="2004"/>
    </row>
    <row r="153" spans="1:26" s="1942" customFormat="1" ht="15.75" customHeight="1">
      <c r="A153" s="4371"/>
      <c r="B153" s="2773" t="s">
        <v>30</v>
      </c>
      <c r="C153" s="4431" t="s">
        <v>471</v>
      </c>
      <c r="D153" s="2149">
        <f t="shared" ref="D153:W153" si="141">+D154</f>
        <v>1536967</v>
      </c>
      <c r="E153" s="2149">
        <f t="shared" si="141"/>
        <v>0</v>
      </c>
      <c r="F153" s="2103">
        <f t="shared" si="141"/>
        <v>0</v>
      </c>
      <c r="G153" s="2103">
        <f t="shared" si="141"/>
        <v>0</v>
      </c>
      <c r="H153" s="2103">
        <f t="shared" si="141"/>
        <v>134277</v>
      </c>
      <c r="I153" s="2104">
        <f t="shared" si="141"/>
        <v>0</v>
      </c>
      <c r="J153" s="2104">
        <f t="shared" si="141"/>
        <v>0</v>
      </c>
      <c r="K153" s="2104">
        <f t="shared" si="141"/>
        <v>0</v>
      </c>
      <c r="L153" s="2104">
        <f t="shared" si="141"/>
        <v>0</v>
      </c>
      <c r="M153" s="2149">
        <f t="shared" si="141"/>
        <v>0</v>
      </c>
      <c r="N153" s="2149">
        <f t="shared" si="141"/>
        <v>0</v>
      </c>
      <c r="O153" s="2150">
        <f t="shared" si="141"/>
        <v>0</v>
      </c>
      <c r="P153" s="2150">
        <f t="shared" si="141"/>
        <v>361842</v>
      </c>
      <c r="Q153" s="2150">
        <f t="shared" si="141"/>
        <v>170000</v>
      </c>
      <c r="R153" s="2150">
        <f t="shared" si="141"/>
        <v>170000</v>
      </c>
      <c r="S153" s="2150">
        <f t="shared" si="141"/>
        <v>167025</v>
      </c>
      <c r="T153" s="2150">
        <f t="shared" si="141"/>
        <v>167025</v>
      </c>
      <c r="U153" s="2150">
        <f t="shared" si="141"/>
        <v>167025</v>
      </c>
      <c r="V153" s="2150">
        <f t="shared" si="141"/>
        <v>167025</v>
      </c>
      <c r="W153" s="2150">
        <f t="shared" si="141"/>
        <v>167025</v>
      </c>
      <c r="X153" s="4379"/>
      <c r="Y153" s="4433"/>
      <c r="Z153" s="2004"/>
    </row>
    <row r="154" spans="1:26" s="1942" customFormat="1" ht="13.5" customHeight="1" thickBot="1">
      <c r="A154" s="4430"/>
      <c r="B154" s="2774" t="s">
        <v>33</v>
      </c>
      <c r="C154" s="4375"/>
      <c r="D154" s="2316">
        <f>M154+O154+P154+Q154+R154+S154+T154+U154+V154+W154</f>
        <v>1536967</v>
      </c>
      <c r="E154" s="2054"/>
      <c r="F154" s="2055">
        <v>0</v>
      </c>
      <c r="G154" s="2055"/>
      <c r="H154" s="2055">
        <v>134277</v>
      </c>
      <c r="I154" s="2056"/>
      <c r="J154" s="2056"/>
      <c r="K154" s="2056"/>
      <c r="L154" s="2056"/>
      <c r="M154" s="2083">
        <f>+E154+I154+J154+K154+L154+N154</f>
        <v>0</v>
      </c>
      <c r="N154" s="2054"/>
      <c r="O154" s="2785">
        <f>447100-447100</f>
        <v>0</v>
      </c>
      <c r="P154" s="2785">
        <f>551000-189158</f>
        <v>361842</v>
      </c>
      <c r="Q154" s="2785">
        <f>192515-22515</f>
        <v>170000</v>
      </c>
      <c r="R154" s="2785">
        <f>171700-1700</f>
        <v>170000</v>
      </c>
      <c r="S154" s="2315">
        <v>167025</v>
      </c>
      <c r="T154" s="2315">
        <v>167025</v>
      </c>
      <c r="U154" s="2315">
        <v>167025</v>
      </c>
      <c r="V154" s="2315">
        <v>167025</v>
      </c>
      <c r="W154" s="2315">
        <v>167025</v>
      </c>
      <c r="X154" s="4379"/>
      <c r="Y154" s="4434"/>
      <c r="Z154" s="2004"/>
    </row>
    <row r="155" spans="1:26" s="2412" customFormat="1" ht="30" customHeight="1">
      <c r="A155" s="4064" t="s">
        <v>107</v>
      </c>
      <c r="B155" s="1828" t="s">
        <v>608</v>
      </c>
      <c r="C155" s="2437"/>
      <c r="D155" s="2444"/>
      <c r="E155" s="2439"/>
      <c r="F155" s="2440"/>
      <c r="G155" s="2440"/>
      <c r="H155" s="2441"/>
      <c r="I155" s="2442"/>
      <c r="J155" s="2443"/>
      <c r="K155" s="2442"/>
      <c r="L155" s="2442"/>
      <c r="M155" s="2444"/>
      <c r="N155" s="2444"/>
      <c r="O155" s="2444"/>
      <c r="P155" s="2439"/>
      <c r="Q155" s="2439"/>
      <c r="R155" s="2439"/>
      <c r="S155" s="2439"/>
      <c r="T155" s="2439"/>
      <c r="U155" s="2439"/>
      <c r="V155" s="2439"/>
      <c r="W155" s="2445"/>
      <c r="X155" s="2446"/>
      <c r="Y155" s="4409" t="s">
        <v>227</v>
      </c>
      <c r="Z155" s="2411"/>
    </row>
    <row r="156" spans="1:26" s="2412" customFormat="1" ht="13.5" customHeight="1">
      <c r="A156" s="4371"/>
      <c r="B156" s="1822" t="s">
        <v>22</v>
      </c>
      <c r="C156" s="2434"/>
      <c r="D156" s="2435">
        <f>+D157+D160</f>
        <v>89390020</v>
      </c>
      <c r="E156" s="2435"/>
      <c r="F156" s="2435"/>
      <c r="G156" s="2435"/>
      <c r="H156" s="2435"/>
      <c r="I156" s="2435"/>
      <c r="J156" s="2435"/>
      <c r="K156" s="2435"/>
      <c r="L156" s="2435"/>
      <c r="M156" s="2435">
        <f t="shared" ref="M156:W156" si="142">+M157+M160</f>
        <v>0</v>
      </c>
      <c r="N156" s="2435">
        <f t="shared" si="142"/>
        <v>0</v>
      </c>
      <c r="O156" s="2435">
        <f t="shared" si="142"/>
        <v>0</v>
      </c>
      <c r="P156" s="2435">
        <f>+P157+P160</f>
        <v>1670370</v>
      </c>
      <c r="Q156" s="2435">
        <f t="shared" si="142"/>
        <v>14548890</v>
      </c>
      <c r="R156" s="2435">
        <f t="shared" si="142"/>
        <v>23596460</v>
      </c>
      <c r="S156" s="2435">
        <f t="shared" si="142"/>
        <v>34618600</v>
      </c>
      <c r="T156" s="2435">
        <f t="shared" si="142"/>
        <v>14955700</v>
      </c>
      <c r="U156" s="2435">
        <f t="shared" si="142"/>
        <v>0</v>
      </c>
      <c r="V156" s="2435">
        <f t="shared" si="142"/>
        <v>0</v>
      </c>
      <c r="W156" s="2435">
        <f t="shared" si="142"/>
        <v>0</v>
      </c>
      <c r="X156" s="1900">
        <f>SUM(M156:W156)</f>
        <v>89390020</v>
      </c>
      <c r="Y156" s="4435"/>
      <c r="Z156" s="2411"/>
    </row>
    <row r="157" spans="1:26" s="2412" customFormat="1" ht="13.5" customHeight="1">
      <c r="A157" s="4371"/>
      <c r="B157" s="1823" t="s">
        <v>36</v>
      </c>
      <c r="C157" s="4420" t="s">
        <v>553</v>
      </c>
      <c r="D157" s="2415">
        <f>+D158+D159</f>
        <v>17526020</v>
      </c>
      <c r="E157" s="2415"/>
      <c r="F157" s="2415"/>
      <c r="G157" s="2415"/>
      <c r="H157" s="2415"/>
      <c r="I157" s="2415"/>
      <c r="J157" s="2415"/>
      <c r="K157" s="2415"/>
      <c r="L157" s="2415"/>
      <c r="M157" s="2415">
        <f>+M158+M159</f>
        <v>0</v>
      </c>
      <c r="N157" s="2415">
        <v>0</v>
      </c>
      <c r="O157" s="2415">
        <f t="shared" ref="O157:X157" si="143">+O158+O159</f>
        <v>0</v>
      </c>
      <c r="P157" s="2415">
        <f t="shared" si="143"/>
        <v>226570</v>
      </c>
      <c r="Q157" s="2415">
        <f t="shared" si="143"/>
        <v>4296290</v>
      </c>
      <c r="R157" s="2415">
        <f t="shared" si="143"/>
        <v>5640660</v>
      </c>
      <c r="S157" s="2415">
        <f t="shared" si="143"/>
        <v>5142800</v>
      </c>
      <c r="T157" s="2415">
        <f t="shared" si="143"/>
        <v>2219700</v>
      </c>
      <c r="U157" s="2415">
        <f t="shared" si="143"/>
        <v>0</v>
      </c>
      <c r="V157" s="2415">
        <f t="shared" si="143"/>
        <v>0</v>
      </c>
      <c r="W157" s="2415">
        <f t="shared" si="143"/>
        <v>0</v>
      </c>
      <c r="X157" s="2451">
        <f t="shared" si="143"/>
        <v>17526020</v>
      </c>
      <c r="Y157" s="4435"/>
      <c r="Z157" s="2411"/>
    </row>
    <row r="158" spans="1:26" s="2412" customFormat="1" ht="13.5" customHeight="1">
      <c r="A158" s="4371"/>
      <c r="B158" s="2436" t="s">
        <v>24</v>
      </c>
      <c r="C158" s="4420"/>
      <c r="D158" s="2420">
        <f t="shared" ref="D158:W158" si="144">+D176+D190+D206+D217</f>
        <v>12526020</v>
      </c>
      <c r="E158" s="2420">
        <f t="shared" si="144"/>
        <v>0</v>
      </c>
      <c r="F158" s="2420">
        <f t="shared" si="144"/>
        <v>0</v>
      </c>
      <c r="G158" s="2420">
        <f t="shared" si="144"/>
        <v>0</v>
      </c>
      <c r="H158" s="2420">
        <f t="shared" si="144"/>
        <v>0</v>
      </c>
      <c r="I158" s="2420">
        <f t="shared" si="144"/>
        <v>0</v>
      </c>
      <c r="J158" s="2420">
        <f t="shared" si="144"/>
        <v>0</v>
      </c>
      <c r="K158" s="2420">
        <f t="shared" si="144"/>
        <v>0</v>
      </c>
      <c r="L158" s="2420">
        <f t="shared" si="144"/>
        <v>0</v>
      </c>
      <c r="M158" s="2420">
        <f t="shared" si="144"/>
        <v>0</v>
      </c>
      <c r="N158" s="2420">
        <f t="shared" si="144"/>
        <v>0</v>
      </c>
      <c r="O158" s="2420">
        <f t="shared" si="144"/>
        <v>0</v>
      </c>
      <c r="P158" s="2420">
        <f t="shared" si="144"/>
        <v>226570</v>
      </c>
      <c r="Q158" s="2420">
        <f t="shared" si="144"/>
        <v>4296290</v>
      </c>
      <c r="R158" s="2420">
        <f t="shared" si="144"/>
        <v>5363360</v>
      </c>
      <c r="S158" s="2420">
        <f t="shared" si="144"/>
        <v>1814600</v>
      </c>
      <c r="T158" s="2420">
        <f t="shared" si="144"/>
        <v>825200</v>
      </c>
      <c r="U158" s="2420">
        <f t="shared" si="144"/>
        <v>0</v>
      </c>
      <c r="V158" s="2420">
        <f t="shared" si="144"/>
        <v>0</v>
      </c>
      <c r="W158" s="2420">
        <f t="shared" si="144"/>
        <v>0</v>
      </c>
      <c r="X158" s="2425">
        <f>SUM(M158:W158)</f>
        <v>12526020</v>
      </c>
      <c r="Y158" s="4435"/>
      <c r="Z158" s="2411"/>
    </row>
    <row r="159" spans="1:26" s="2412" customFormat="1" ht="13.5" customHeight="1">
      <c r="A159" s="4371"/>
      <c r="B159" s="2436" t="s">
        <v>28</v>
      </c>
      <c r="C159" s="4420"/>
      <c r="D159" s="2420">
        <f>+D177+D191+D218</f>
        <v>5000000</v>
      </c>
      <c r="E159" s="2420">
        <f t="shared" ref="E159:W159" si="145">+E177+E191+E218</f>
        <v>0</v>
      </c>
      <c r="F159" s="2420">
        <f t="shared" si="145"/>
        <v>0</v>
      </c>
      <c r="G159" s="2420">
        <f t="shared" si="145"/>
        <v>0</v>
      </c>
      <c r="H159" s="2420">
        <f t="shared" si="145"/>
        <v>0</v>
      </c>
      <c r="I159" s="2420">
        <f t="shared" si="145"/>
        <v>0</v>
      </c>
      <c r="J159" s="2420">
        <f t="shared" si="145"/>
        <v>0</v>
      </c>
      <c r="K159" s="2420">
        <f t="shared" si="145"/>
        <v>0</v>
      </c>
      <c r="L159" s="2420">
        <f t="shared" si="145"/>
        <v>0</v>
      </c>
      <c r="M159" s="2420">
        <f t="shared" si="145"/>
        <v>0</v>
      </c>
      <c r="N159" s="2420">
        <f t="shared" si="145"/>
        <v>0</v>
      </c>
      <c r="O159" s="2420">
        <f t="shared" si="145"/>
        <v>0</v>
      </c>
      <c r="P159" s="2420">
        <f t="shared" si="145"/>
        <v>0</v>
      </c>
      <c r="Q159" s="2420">
        <f t="shared" si="145"/>
        <v>0</v>
      </c>
      <c r="R159" s="2420">
        <f t="shared" si="145"/>
        <v>277300</v>
      </c>
      <c r="S159" s="2420">
        <f t="shared" si="145"/>
        <v>3328200</v>
      </c>
      <c r="T159" s="2420">
        <f t="shared" si="145"/>
        <v>1394500</v>
      </c>
      <c r="U159" s="2420">
        <f t="shared" si="145"/>
        <v>0</v>
      </c>
      <c r="V159" s="2420">
        <f t="shared" si="145"/>
        <v>0</v>
      </c>
      <c r="W159" s="2420">
        <f t="shared" si="145"/>
        <v>0</v>
      </c>
      <c r="X159" s="2425">
        <f>SUM(M159:W159)</f>
        <v>5000000</v>
      </c>
      <c r="Y159" s="4435"/>
      <c r="Z159" s="2411"/>
    </row>
    <row r="160" spans="1:26" s="2412" customFormat="1" ht="13.5" customHeight="1">
      <c r="A160" s="4371"/>
      <c r="B160" s="1851" t="s">
        <v>30</v>
      </c>
      <c r="C160" s="4420"/>
      <c r="D160" s="2416">
        <f>+D161</f>
        <v>71864000</v>
      </c>
      <c r="E160" s="2416">
        <f t="shared" ref="E160:W160" si="146">+E161</f>
        <v>0</v>
      </c>
      <c r="F160" s="2416">
        <f t="shared" si="146"/>
        <v>0</v>
      </c>
      <c r="G160" s="2416">
        <f t="shared" si="146"/>
        <v>0</v>
      </c>
      <c r="H160" s="2416">
        <f t="shared" si="146"/>
        <v>0</v>
      </c>
      <c r="I160" s="2416">
        <f t="shared" si="146"/>
        <v>0</v>
      </c>
      <c r="J160" s="2416">
        <f t="shared" si="146"/>
        <v>0</v>
      </c>
      <c r="K160" s="2416">
        <f t="shared" si="146"/>
        <v>0</v>
      </c>
      <c r="L160" s="2416">
        <f t="shared" si="146"/>
        <v>0</v>
      </c>
      <c r="M160" s="2416">
        <f t="shared" si="146"/>
        <v>0</v>
      </c>
      <c r="N160" s="2416">
        <f t="shared" si="146"/>
        <v>0</v>
      </c>
      <c r="O160" s="2416">
        <f t="shared" si="146"/>
        <v>0</v>
      </c>
      <c r="P160" s="2416">
        <f t="shared" si="146"/>
        <v>1443800</v>
      </c>
      <c r="Q160" s="2416">
        <f t="shared" si="146"/>
        <v>10252600</v>
      </c>
      <c r="R160" s="2416">
        <f t="shared" si="146"/>
        <v>17955800</v>
      </c>
      <c r="S160" s="2416">
        <f t="shared" si="146"/>
        <v>29475800</v>
      </c>
      <c r="T160" s="2416">
        <f t="shared" si="146"/>
        <v>12736000</v>
      </c>
      <c r="U160" s="2416">
        <f t="shared" si="146"/>
        <v>0</v>
      </c>
      <c r="V160" s="2416">
        <f t="shared" si="146"/>
        <v>0</v>
      </c>
      <c r="W160" s="2416">
        <f t="shared" si="146"/>
        <v>0</v>
      </c>
      <c r="X160" s="2451">
        <f>+X162+X163+X164</f>
        <v>71864000</v>
      </c>
      <c r="Y160" s="4435"/>
      <c r="Z160" s="2411"/>
    </row>
    <row r="161" spans="1:26" s="2412" customFormat="1" ht="12.75" customHeight="1">
      <c r="A161" s="4371"/>
      <c r="B161" s="2426" t="s">
        <v>33</v>
      </c>
      <c r="C161" s="4420"/>
      <c r="D161" s="2420">
        <f>+D162+D163+D164</f>
        <v>71864000</v>
      </c>
      <c r="E161" s="2420">
        <f t="shared" ref="E161:W161" si="147">+E162+E163+E164</f>
        <v>0</v>
      </c>
      <c r="F161" s="2420">
        <f t="shared" si="147"/>
        <v>0</v>
      </c>
      <c r="G161" s="2420">
        <f t="shared" si="147"/>
        <v>0</v>
      </c>
      <c r="H161" s="2420">
        <f t="shared" si="147"/>
        <v>0</v>
      </c>
      <c r="I161" s="2420">
        <f t="shared" si="147"/>
        <v>0</v>
      </c>
      <c r="J161" s="2420">
        <f t="shared" si="147"/>
        <v>0</v>
      </c>
      <c r="K161" s="2420">
        <f t="shared" si="147"/>
        <v>0</v>
      </c>
      <c r="L161" s="2420">
        <f t="shared" si="147"/>
        <v>0</v>
      </c>
      <c r="M161" s="2420">
        <f t="shared" si="147"/>
        <v>0</v>
      </c>
      <c r="N161" s="2420">
        <f t="shared" si="147"/>
        <v>0</v>
      </c>
      <c r="O161" s="2420">
        <f t="shared" si="147"/>
        <v>0</v>
      </c>
      <c r="P161" s="2420">
        <f t="shared" si="147"/>
        <v>1443800</v>
      </c>
      <c r="Q161" s="2420">
        <f t="shared" si="147"/>
        <v>10252600</v>
      </c>
      <c r="R161" s="2420">
        <f t="shared" si="147"/>
        <v>17955800</v>
      </c>
      <c r="S161" s="2420">
        <f t="shared" si="147"/>
        <v>29475800</v>
      </c>
      <c r="T161" s="2420">
        <f t="shared" si="147"/>
        <v>12736000</v>
      </c>
      <c r="U161" s="2420">
        <f t="shared" si="147"/>
        <v>0</v>
      </c>
      <c r="V161" s="2420">
        <f t="shared" si="147"/>
        <v>0</v>
      </c>
      <c r="W161" s="2420">
        <f t="shared" si="147"/>
        <v>0</v>
      </c>
      <c r="X161" s="2451">
        <f>SUM(M161:W161)</f>
        <v>71864000</v>
      </c>
      <c r="Y161" s="4435"/>
      <c r="Z161" s="2411"/>
    </row>
    <row r="162" spans="1:26" s="2317" customFormat="1" ht="23.25" hidden="1" customHeight="1">
      <c r="A162" s="4371"/>
      <c r="B162" s="2436" t="s">
        <v>554</v>
      </c>
      <c r="C162" s="4420"/>
      <c r="D162" s="2420">
        <f t="shared" ref="D162:W162" si="148">+D180+D194+D209+D221</f>
        <v>20000000</v>
      </c>
      <c r="E162" s="2321">
        <f t="shared" si="148"/>
        <v>0</v>
      </c>
      <c r="F162" s="2321">
        <f t="shared" si="148"/>
        <v>0</v>
      </c>
      <c r="G162" s="2321">
        <f t="shared" si="148"/>
        <v>0</v>
      </c>
      <c r="H162" s="2321">
        <f t="shared" si="148"/>
        <v>0</v>
      </c>
      <c r="I162" s="2321">
        <f t="shared" si="148"/>
        <v>0</v>
      </c>
      <c r="J162" s="2321">
        <f t="shared" si="148"/>
        <v>0</v>
      </c>
      <c r="K162" s="2321">
        <f t="shared" si="148"/>
        <v>0</v>
      </c>
      <c r="L162" s="2321">
        <f t="shared" si="148"/>
        <v>0</v>
      </c>
      <c r="M162" s="2420">
        <f t="shared" si="148"/>
        <v>0</v>
      </c>
      <c r="N162" s="2420">
        <f t="shared" si="148"/>
        <v>0</v>
      </c>
      <c r="O162" s="2420">
        <f t="shared" si="148"/>
        <v>0</v>
      </c>
      <c r="P162" s="2420">
        <f t="shared" si="148"/>
        <v>1443800</v>
      </c>
      <c r="Q162" s="2420">
        <f t="shared" si="148"/>
        <v>7252600</v>
      </c>
      <c r="R162" s="2420">
        <f t="shared" si="148"/>
        <v>8627800</v>
      </c>
      <c r="S162" s="2420">
        <f t="shared" si="148"/>
        <v>1539800</v>
      </c>
      <c r="T162" s="2420">
        <f t="shared" si="148"/>
        <v>1136000</v>
      </c>
      <c r="U162" s="2321">
        <f t="shared" si="148"/>
        <v>0</v>
      </c>
      <c r="V162" s="2321">
        <f t="shared" si="148"/>
        <v>0</v>
      </c>
      <c r="W162" s="2321">
        <f t="shared" si="148"/>
        <v>0</v>
      </c>
      <c r="X162" s="2351">
        <f>SUM(M162:W162)</f>
        <v>20000000</v>
      </c>
      <c r="Y162" s="4435"/>
      <c r="Z162" s="2318"/>
    </row>
    <row r="163" spans="1:26" s="2412" customFormat="1" ht="20.25" hidden="1" customHeight="1">
      <c r="A163" s="4371"/>
      <c r="B163" s="2436" t="s">
        <v>555</v>
      </c>
      <c r="C163" s="4420"/>
      <c r="D163" s="2420">
        <f>+D195</f>
        <v>10000000</v>
      </c>
      <c r="E163" s="2420">
        <f t="shared" ref="E163:W163" si="149">+E195</f>
        <v>0</v>
      </c>
      <c r="F163" s="2420">
        <f t="shared" si="149"/>
        <v>0</v>
      </c>
      <c r="G163" s="2420">
        <f t="shared" si="149"/>
        <v>0</v>
      </c>
      <c r="H163" s="2420">
        <f t="shared" si="149"/>
        <v>0</v>
      </c>
      <c r="I163" s="2420">
        <f t="shared" si="149"/>
        <v>0</v>
      </c>
      <c r="J163" s="2420">
        <f t="shared" si="149"/>
        <v>0</v>
      </c>
      <c r="K163" s="2420">
        <f t="shared" si="149"/>
        <v>0</v>
      </c>
      <c r="L163" s="2420">
        <f t="shared" si="149"/>
        <v>0</v>
      </c>
      <c r="M163" s="2420">
        <f t="shared" si="149"/>
        <v>0</v>
      </c>
      <c r="N163" s="2420">
        <f t="shared" si="149"/>
        <v>0</v>
      </c>
      <c r="O163" s="2420">
        <f t="shared" si="149"/>
        <v>0</v>
      </c>
      <c r="P163" s="2420">
        <f t="shared" si="149"/>
        <v>0</v>
      </c>
      <c r="Q163" s="2420">
        <f t="shared" si="149"/>
        <v>3000000</v>
      </c>
      <c r="R163" s="2420">
        <f t="shared" si="149"/>
        <v>7000000</v>
      </c>
      <c r="S163" s="2420">
        <f t="shared" si="149"/>
        <v>0</v>
      </c>
      <c r="T163" s="2420">
        <f t="shared" si="149"/>
        <v>0</v>
      </c>
      <c r="U163" s="2420">
        <f t="shared" si="149"/>
        <v>0</v>
      </c>
      <c r="V163" s="2420">
        <f t="shared" si="149"/>
        <v>0</v>
      </c>
      <c r="W163" s="2420">
        <f t="shared" si="149"/>
        <v>0</v>
      </c>
      <c r="X163" s="2425">
        <f>SUM(M163:W163)</f>
        <v>10000000</v>
      </c>
      <c r="Y163" s="4435"/>
      <c r="Z163" s="2411"/>
    </row>
    <row r="164" spans="1:26" s="2412" customFormat="1" ht="27" hidden="1" customHeight="1">
      <c r="A164" s="4371"/>
      <c r="B164" s="2436" t="s">
        <v>556</v>
      </c>
      <c r="C164" s="4420"/>
      <c r="D164" s="2785">
        <f>+D222</f>
        <v>41864000</v>
      </c>
      <c r="E164" s="2785">
        <f t="shared" ref="E164:W164" si="150">+E222</f>
        <v>0</v>
      </c>
      <c r="F164" s="2785">
        <f t="shared" si="150"/>
        <v>0</v>
      </c>
      <c r="G164" s="2785">
        <f t="shared" si="150"/>
        <v>0</v>
      </c>
      <c r="H164" s="2785">
        <f t="shared" si="150"/>
        <v>0</v>
      </c>
      <c r="I164" s="2785">
        <f t="shared" si="150"/>
        <v>0</v>
      </c>
      <c r="J164" s="2785">
        <f t="shared" si="150"/>
        <v>0</v>
      </c>
      <c r="K164" s="2785">
        <f t="shared" si="150"/>
        <v>0</v>
      </c>
      <c r="L164" s="2785">
        <f t="shared" si="150"/>
        <v>0</v>
      </c>
      <c r="M164" s="2785">
        <f t="shared" si="150"/>
        <v>0</v>
      </c>
      <c r="N164" s="2785">
        <f t="shared" si="150"/>
        <v>0</v>
      </c>
      <c r="O164" s="2785">
        <f t="shared" si="150"/>
        <v>0</v>
      </c>
      <c r="P164" s="2785">
        <f t="shared" si="150"/>
        <v>0</v>
      </c>
      <c r="Q164" s="2785">
        <f t="shared" si="150"/>
        <v>0</v>
      </c>
      <c r="R164" s="2785">
        <f t="shared" si="150"/>
        <v>2328000</v>
      </c>
      <c r="S164" s="2785">
        <f t="shared" si="150"/>
        <v>27936000</v>
      </c>
      <c r="T164" s="2785">
        <f t="shared" si="150"/>
        <v>11600000</v>
      </c>
      <c r="U164" s="2785">
        <f t="shared" si="150"/>
        <v>0</v>
      </c>
      <c r="V164" s="2785">
        <f t="shared" si="150"/>
        <v>0</v>
      </c>
      <c r="W164" s="2785">
        <f t="shared" si="150"/>
        <v>0</v>
      </c>
      <c r="X164" s="2425">
        <f>SUM(M164:W164)</f>
        <v>41864000</v>
      </c>
      <c r="Y164" s="4435"/>
      <c r="Z164" s="2411"/>
    </row>
    <row r="165" spans="1:26" s="2412" customFormat="1" ht="15.75" customHeight="1">
      <c r="A165" s="4371"/>
      <c r="B165" s="1868" t="s">
        <v>557</v>
      </c>
      <c r="C165" s="2434"/>
      <c r="D165" s="2435">
        <f t="shared" ref="D165:W165" si="151">+D166+D168</f>
        <v>76864000</v>
      </c>
      <c r="E165" s="2435" t="e">
        <f t="shared" si="151"/>
        <v>#REF!</v>
      </c>
      <c r="F165" s="2435" t="e">
        <f t="shared" si="151"/>
        <v>#REF!</v>
      </c>
      <c r="G165" s="2435" t="e">
        <f t="shared" si="151"/>
        <v>#REF!</v>
      </c>
      <c r="H165" s="2435" t="e">
        <f t="shared" si="151"/>
        <v>#REF!</v>
      </c>
      <c r="I165" s="2435" t="e">
        <f t="shared" si="151"/>
        <v>#REF!</v>
      </c>
      <c r="J165" s="2435" t="e">
        <f t="shared" si="151"/>
        <v>#REF!</v>
      </c>
      <c r="K165" s="2435" t="e">
        <f t="shared" si="151"/>
        <v>#REF!</v>
      </c>
      <c r="L165" s="2435" t="e">
        <f t="shared" si="151"/>
        <v>#REF!</v>
      </c>
      <c r="M165" s="2435">
        <f t="shared" si="151"/>
        <v>0</v>
      </c>
      <c r="N165" s="2435">
        <f t="shared" si="151"/>
        <v>0</v>
      </c>
      <c r="O165" s="2435">
        <f t="shared" si="151"/>
        <v>0</v>
      </c>
      <c r="P165" s="2435">
        <f t="shared" si="151"/>
        <v>1443800</v>
      </c>
      <c r="Q165" s="2435">
        <f t="shared" si="151"/>
        <v>10252600</v>
      </c>
      <c r="R165" s="2435">
        <f t="shared" si="151"/>
        <v>18233100</v>
      </c>
      <c r="S165" s="2435">
        <f t="shared" si="151"/>
        <v>32804000</v>
      </c>
      <c r="T165" s="2435">
        <f t="shared" si="151"/>
        <v>14130500</v>
      </c>
      <c r="U165" s="2435">
        <f t="shared" si="151"/>
        <v>0</v>
      </c>
      <c r="V165" s="2435">
        <f t="shared" si="151"/>
        <v>0</v>
      </c>
      <c r="W165" s="2435">
        <f t="shared" si="151"/>
        <v>0</v>
      </c>
      <c r="X165" s="4379" t="s">
        <v>77</v>
      </c>
      <c r="Y165" s="4435"/>
      <c r="Z165" s="2411"/>
    </row>
    <row r="166" spans="1:26" s="2412" customFormat="1" ht="13.5" customHeight="1">
      <c r="A166" s="4371"/>
      <c r="B166" s="1823" t="s">
        <v>36</v>
      </c>
      <c r="C166" s="4420" t="s">
        <v>558</v>
      </c>
      <c r="D166" s="2415">
        <f>+D167</f>
        <v>5000000</v>
      </c>
      <c r="E166" s="2415" t="e">
        <f>+E167+#REF!</f>
        <v>#REF!</v>
      </c>
      <c r="F166" s="2415" t="e">
        <f>+F167+#REF!</f>
        <v>#REF!</v>
      </c>
      <c r="G166" s="2415" t="e">
        <f>+G167+#REF!</f>
        <v>#REF!</v>
      </c>
      <c r="H166" s="2415" t="e">
        <f>+H167+#REF!</f>
        <v>#REF!</v>
      </c>
      <c r="I166" s="2415" t="e">
        <f>+I167+#REF!</f>
        <v>#REF!</v>
      </c>
      <c r="J166" s="2415" t="e">
        <f>+J167+#REF!</f>
        <v>#REF!</v>
      </c>
      <c r="K166" s="2415" t="e">
        <f>+K167+#REF!</f>
        <v>#REF!</v>
      </c>
      <c r="L166" s="2415" t="e">
        <f>+L167+#REF!</f>
        <v>#REF!</v>
      </c>
      <c r="M166" s="2415">
        <f t="shared" ref="M166:W166" si="152">+M167</f>
        <v>0</v>
      </c>
      <c r="N166" s="2415">
        <f t="shared" si="152"/>
        <v>0</v>
      </c>
      <c r="O166" s="2415">
        <f t="shared" si="152"/>
        <v>0</v>
      </c>
      <c r="P166" s="2415">
        <f t="shared" si="152"/>
        <v>0</v>
      </c>
      <c r="Q166" s="2415">
        <f t="shared" si="152"/>
        <v>0</v>
      </c>
      <c r="R166" s="2415">
        <f t="shared" si="152"/>
        <v>277300</v>
      </c>
      <c r="S166" s="2415">
        <f t="shared" si="152"/>
        <v>3328200</v>
      </c>
      <c r="T166" s="2415">
        <f t="shared" si="152"/>
        <v>1394500</v>
      </c>
      <c r="U166" s="2415">
        <f t="shared" si="152"/>
        <v>0</v>
      </c>
      <c r="V166" s="2415">
        <f t="shared" si="152"/>
        <v>0</v>
      </c>
      <c r="W166" s="2415">
        <f t="shared" si="152"/>
        <v>0</v>
      </c>
      <c r="X166" s="4379"/>
      <c r="Y166" s="4435"/>
      <c r="Z166" s="2411"/>
    </row>
    <row r="167" spans="1:26" s="2412" customFormat="1" ht="13.5" customHeight="1">
      <c r="A167" s="4371"/>
      <c r="B167" s="2436" t="s">
        <v>28</v>
      </c>
      <c r="C167" s="4420"/>
      <c r="D167" s="2764">
        <f t="shared" ref="D167:W167" si="153">+D198+D225</f>
        <v>5000000</v>
      </c>
      <c r="E167" s="2764">
        <f t="shared" si="153"/>
        <v>0</v>
      </c>
      <c r="F167" s="2764">
        <f t="shared" si="153"/>
        <v>0</v>
      </c>
      <c r="G167" s="2764">
        <f t="shared" si="153"/>
        <v>0</v>
      </c>
      <c r="H167" s="2764">
        <f t="shared" si="153"/>
        <v>0</v>
      </c>
      <c r="I167" s="2764">
        <f t="shared" si="153"/>
        <v>0</v>
      </c>
      <c r="J167" s="2764">
        <f t="shared" si="153"/>
        <v>0</v>
      </c>
      <c r="K167" s="2764">
        <f t="shared" si="153"/>
        <v>0</v>
      </c>
      <c r="L167" s="2764">
        <f t="shared" si="153"/>
        <v>0</v>
      </c>
      <c r="M167" s="2764">
        <f t="shared" si="153"/>
        <v>0</v>
      </c>
      <c r="N167" s="2764">
        <f t="shared" si="153"/>
        <v>0</v>
      </c>
      <c r="O167" s="2764">
        <f t="shared" si="153"/>
        <v>0</v>
      </c>
      <c r="P167" s="2764">
        <f t="shared" si="153"/>
        <v>0</v>
      </c>
      <c r="Q167" s="2764">
        <f t="shared" si="153"/>
        <v>0</v>
      </c>
      <c r="R167" s="2764">
        <f t="shared" si="153"/>
        <v>277300</v>
      </c>
      <c r="S167" s="2764">
        <f t="shared" si="153"/>
        <v>3328200</v>
      </c>
      <c r="T167" s="2764">
        <f t="shared" si="153"/>
        <v>1394500</v>
      </c>
      <c r="U167" s="2764">
        <f t="shared" si="153"/>
        <v>0</v>
      </c>
      <c r="V167" s="2764">
        <f t="shared" si="153"/>
        <v>0</v>
      </c>
      <c r="W167" s="2764">
        <f t="shared" si="153"/>
        <v>0</v>
      </c>
      <c r="X167" s="4379"/>
      <c r="Y167" s="4435"/>
      <c r="Z167" s="2411"/>
    </row>
    <row r="168" spans="1:26" s="2412" customFormat="1" ht="13.5" customHeight="1">
      <c r="A168" s="4371"/>
      <c r="B168" s="1851" t="s">
        <v>30</v>
      </c>
      <c r="C168" s="4420"/>
      <c r="D168" s="2415">
        <f>+D169</f>
        <v>71864000</v>
      </c>
      <c r="E168" s="2415">
        <f t="shared" ref="E168:W168" si="154">+E169</f>
        <v>0</v>
      </c>
      <c r="F168" s="2415">
        <f t="shared" si="154"/>
        <v>0</v>
      </c>
      <c r="G168" s="2415">
        <f t="shared" si="154"/>
        <v>0</v>
      </c>
      <c r="H168" s="2415">
        <f t="shared" si="154"/>
        <v>0</v>
      </c>
      <c r="I168" s="2415">
        <f t="shared" si="154"/>
        <v>0</v>
      </c>
      <c r="J168" s="2415">
        <f t="shared" si="154"/>
        <v>0</v>
      </c>
      <c r="K168" s="2415">
        <f t="shared" si="154"/>
        <v>0</v>
      </c>
      <c r="L168" s="2415">
        <f t="shared" si="154"/>
        <v>0</v>
      </c>
      <c r="M168" s="2415">
        <f t="shared" si="154"/>
        <v>0</v>
      </c>
      <c r="N168" s="2415">
        <f t="shared" si="154"/>
        <v>0</v>
      </c>
      <c r="O168" s="2415">
        <f t="shared" si="154"/>
        <v>0</v>
      </c>
      <c r="P168" s="2415">
        <f t="shared" si="154"/>
        <v>1443800</v>
      </c>
      <c r="Q168" s="2415">
        <f t="shared" si="154"/>
        <v>10252600</v>
      </c>
      <c r="R168" s="2415">
        <f t="shared" si="154"/>
        <v>17955800</v>
      </c>
      <c r="S168" s="2415">
        <f t="shared" si="154"/>
        <v>29475800</v>
      </c>
      <c r="T168" s="2415">
        <f t="shared" si="154"/>
        <v>12736000</v>
      </c>
      <c r="U168" s="2415">
        <f t="shared" si="154"/>
        <v>0</v>
      </c>
      <c r="V168" s="2415">
        <f t="shared" si="154"/>
        <v>0</v>
      </c>
      <c r="W168" s="2415">
        <f t="shared" si="154"/>
        <v>0</v>
      </c>
      <c r="X168" s="4379"/>
      <c r="Y168" s="4435"/>
      <c r="Z168" s="2411"/>
    </row>
    <row r="169" spans="1:26" s="2412" customFormat="1" ht="14.25" customHeight="1" thickBot="1">
      <c r="A169" s="4430"/>
      <c r="B169" s="2867" t="s">
        <v>33</v>
      </c>
      <c r="C169" s="4420"/>
      <c r="D169" s="2420">
        <f>+D185+D200+D227+D212</f>
        <v>71864000</v>
      </c>
      <c r="E169" s="2420">
        <f t="shared" ref="E169:W169" si="155">+E185+E200+E227+E212</f>
        <v>0</v>
      </c>
      <c r="F169" s="2420">
        <f t="shared" si="155"/>
        <v>0</v>
      </c>
      <c r="G169" s="2420">
        <f t="shared" si="155"/>
        <v>0</v>
      </c>
      <c r="H169" s="2420">
        <f t="shared" si="155"/>
        <v>0</v>
      </c>
      <c r="I169" s="2420">
        <f t="shared" si="155"/>
        <v>0</v>
      </c>
      <c r="J169" s="2420">
        <f t="shared" si="155"/>
        <v>0</v>
      </c>
      <c r="K169" s="2420">
        <f t="shared" si="155"/>
        <v>0</v>
      </c>
      <c r="L169" s="2420">
        <f t="shared" si="155"/>
        <v>0</v>
      </c>
      <c r="M169" s="2420">
        <f t="shared" si="155"/>
        <v>0</v>
      </c>
      <c r="N169" s="2420">
        <f t="shared" si="155"/>
        <v>0</v>
      </c>
      <c r="O169" s="2420">
        <f t="shared" si="155"/>
        <v>0</v>
      </c>
      <c r="P169" s="2420">
        <f t="shared" si="155"/>
        <v>1443800</v>
      </c>
      <c r="Q169" s="2420">
        <f t="shared" si="155"/>
        <v>10252600</v>
      </c>
      <c r="R169" s="2420">
        <f t="shared" si="155"/>
        <v>17955800</v>
      </c>
      <c r="S169" s="2420">
        <f t="shared" si="155"/>
        <v>29475800</v>
      </c>
      <c r="T169" s="2420">
        <f t="shared" si="155"/>
        <v>12736000</v>
      </c>
      <c r="U169" s="2420">
        <f t="shared" si="155"/>
        <v>0</v>
      </c>
      <c r="V169" s="2321">
        <f>+V185+V200+V227+V212</f>
        <v>0</v>
      </c>
      <c r="W169" s="2321">
        <f t="shared" si="155"/>
        <v>0</v>
      </c>
      <c r="X169" s="4379"/>
      <c r="Y169" s="4435"/>
      <c r="Z169" s="2411"/>
    </row>
    <row r="170" spans="1:26" s="2317" customFormat="1" ht="22.5" hidden="1" customHeight="1">
      <c r="A170" s="2347"/>
      <c r="B170" s="3058" t="s">
        <v>554</v>
      </c>
      <c r="C170" s="4420"/>
      <c r="D170" s="2764">
        <f>+D186+D201+D213+D228</f>
        <v>20000000</v>
      </c>
      <c r="E170" s="2764">
        <f t="shared" ref="E170:W170" si="156">+E186+E201+E213+E228</f>
        <v>0</v>
      </c>
      <c r="F170" s="2764">
        <f t="shared" si="156"/>
        <v>0</v>
      </c>
      <c r="G170" s="2764">
        <f t="shared" si="156"/>
        <v>0</v>
      </c>
      <c r="H170" s="2764">
        <f t="shared" si="156"/>
        <v>0</v>
      </c>
      <c r="I170" s="2764">
        <f t="shared" si="156"/>
        <v>0</v>
      </c>
      <c r="J170" s="2764">
        <f t="shared" si="156"/>
        <v>0</v>
      </c>
      <c r="K170" s="2764">
        <f t="shared" si="156"/>
        <v>0</v>
      </c>
      <c r="L170" s="2764">
        <f t="shared" si="156"/>
        <v>0</v>
      </c>
      <c r="M170" s="2764">
        <f t="shared" si="156"/>
        <v>0</v>
      </c>
      <c r="N170" s="2764">
        <f t="shared" si="156"/>
        <v>0</v>
      </c>
      <c r="O170" s="2764">
        <f t="shared" si="156"/>
        <v>0</v>
      </c>
      <c r="P170" s="2764">
        <f t="shared" si="156"/>
        <v>1443800</v>
      </c>
      <c r="Q170" s="2764">
        <f t="shared" si="156"/>
        <v>7252600</v>
      </c>
      <c r="R170" s="2764">
        <f t="shared" si="156"/>
        <v>8627800</v>
      </c>
      <c r="S170" s="2764">
        <f t="shared" si="156"/>
        <v>1539800</v>
      </c>
      <c r="T170" s="2764">
        <f t="shared" si="156"/>
        <v>1136000</v>
      </c>
      <c r="U170" s="2764">
        <f t="shared" si="156"/>
        <v>0</v>
      </c>
      <c r="V170" s="3078">
        <f t="shared" si="156"/>
        <v>0</v>
      </c>
      <c r="W170" s="3078">
        <f t="shared" si="156"/>
        <v>0</v>
      </c>
      <c r="X170" s="4379"/>
      <c r="Y170" s="3159"/>
      <c r="Z170" s="2318"/>
    </row>
    <row r="171" spans="1:26" s="2412" customFormat="1" ht="19.5" hidden="1" customHeight="1">
      <c r="A171" s="2408"/>
      <c r="B171" s="3075" t="s">
        <v>555</v>
      </c>
      <c r="C171" s="4420"/>
      <c r="D171" s="2420">
        <f>+D202</f>
        <v>10000000</v>
      </c>
      <c r="E171" s="2420">
        <f t="shared" ref="E171:W171" si="157">+E202</f>
        <v>0</v>
      </c>
      <c r="F171" s="2420">
        <f t="shared" si="157"/>
        <v>0</v>
      </c>
      <c r="G171" s="2420">
        <f t="shared" si="157"/>
        <v>0</v>
      </c>
      <c r="H171" s="2420">
        <f t="shared" si="157"/>
        <v>0</v>
      </c>
      <c r="I171" s="2420">
        <f t="shared" si="157"/>
        <v>0</v>
      </c>
      <c r="J171" s="2420">
        <f t="shared" si="157"/>
        <v>0</v>
      </c>
      <c r="K171" s="2420">
        <f t="shared" si="157"/>
        <v>0</v>
      </c>
      <c r="L171" s="2420">
        <f t="shared" si="157"/>
        <v>0</v>
      </c>
      <c r="M171" s="2420">
        <f t="shared" si="157"/>
        <v>0</v>
      </c>
      <c r="N171" s="2420">
        <f t="shared" si="157"/>
        <v>0</v>
      </c>
      <c r="O171" s="2420">
        <f t="shared" si="157"/>
        <v>0</v>
      </c>
      <c r="P171" s="2420">
        <f t="shared" si="157"/>
        <v>0</v>
      </c>
      <c r="Q171" s="2420">
        <f t="shared" si="157"/>
        <v>3000000</v>
      </c>
      <c r="R171" s="2420">
        <f t="shared" si="157"/>
        <v>7000000</v>
      </c>
      <c r="S171" s="2420">
        <f t="shared" si="157"/>
        <v>0</v>
      </c>
      <c r="T171" s="2420">
        <f t="shared" si="157"/>
        <v>0</v>
      </c>
      <c r="U171" s="2420">
        <f t="shared" si="157"/>
        <v>0</v>
      </c>
      <c r="V171" s="2420">
        <f t="shared" si="157"/>
        <v>0</v>
      </c>
      <c r="W171" s="2420">
        <f t="shared" si="157"/>
        <v>0</v>
      </c>
      <c r="X171" s="4379"/>
      <c r="Y171" s="3159"/>
      <c r="Z171" s="2411"/>
    </row>
    <row r="172" spans="1:26" s="2412" customFormat="1" ht="21" hidden="1" customHeight="1" thickBot="1">
      <c r="A172" s="2408"/>
      <c r="B172" s="3059" t="s">
        <v>556</v>
      </c>
      <c r="C172" s="4421"/>
      <c r="D172" s="3061">
        <f>+D229</f>
        <v>41864000</v>
      </c>
      <c r="E172" s="3061">
        <f t="shared" ref="E172:W172" si="158">+E229</f>
        <v>0</v>
      </c>
      <c r="F172" s="3061">
        <f t="shared" si="158"/>
        <v>0</v>
      </c>
      <c r="G172" s="3061">
        <f t="shared" si="158"/>
        <v>0</v>
      </c>
      <c r="H172" s="3061">
        <f t="shared" si="158"/>
        <v>0</v>
      </c>
      <c r="I172" s="3061">
        <f t="shared" si="158"/>
        <v>0</v>
      </c>
      <c r="J172" s="3061">
        <f t="shared" si="158"/>
        <v>0</v>
      </c>
      <c r="K172" s="3061">
        <f t="shared" si="158"/>
        <v>0</v>
      </c>
      <c r="L172" s="3061">
        <f t="shared" si="158"/>
        <v>0</v>
      </c>
      <c r="M172" s="3061">
        <f t="shared" si="158"/>
        <v>0</v>
      </c>
      <c r="N172" s="3061">
        <f t="shared" si="158"/>
        <v>0</v>
      </c>
      <c r="O172" s="3061">
        <f t="shared" si="158"/>
        <v>0</v>
      </c>
      <c r="P172" s="3061">
        <f t="shared" si="158"/>
        <v>0</v>
      </c>
      <c r="Q172" s="3061">
        <f t="shared" si="158"/>
        <v>0</v>
      </c>
      <c r="R172" s="3061">
        <f t="shared" si="158"/>
        <v>2328000</v>
      </c>
      <c r="S172" s="3061">
        <f t="shared" si="158"/>
        <v>27936000</v>
      </c>
      <c r="T172" s="3061">
        <f t="shared" si="158"/>
        <v>11600000</v>
      </c>
      <c r="U172" s="3061">
        <f t="shared" si="158"/>
        <v>0</v>
      </c>
      <c r="V172" s="3061">
        <f t="shared" si="158"/>
        <v>0</v>
      </c>
      <c r="W172" s="3061">
        <f t="shared" si="158"/>
        <v>0</v>
      </c>
      <c r="X172" s="4380"/>
      <c r="Y172" s="3159"/>
      <c r="Z172" s="2411"/>
    </row>
    <row r="173" spans="1:26" s="2412" customFormat="1" ht="18.75" customHeight="1">
      <c r="A173" s="4371" t="s">
        <v>614</v>
      </c>
      <c r="B173" s="1861" t="s">
        <v>559</v>
      </c>
      <c r="C173" s="2437" t="s">
        <v>131</v>
      </c>
      <c r="D173" s="2438"/>
      <c r="E173" s="2439"/>
      <c r="F173" s="2440"/>
      <c r="G173" s="2440"/>
      <c r="H173" s="2441"/>
      <c r="I173" s="2442"/>
      <c r="J173" s="2443"/>
      <c r="K173" s="2442"/>
      <c r="L173" s="2442"/>
      <c r="M173" s="2444"/>
      <c r="N173" s="2444"/>
      <c r="O173" s="2444"/>
      <c r="P173" s="2439"/>
      <c r="Q173" s="2439"/>
      <c r="R173" s="2439"/>
      <c r="S173" s="2439"/>
      <c r="T173" s="2439"/>
      <c r="U173" s="2439"/>
      <c r="V173" s="2439"/>
      <c r="W173" s="2445"/>
      <c r="X173" s="2446"/>
      <c r="Y173" s="3159"/>
      <c r="Z173" s="2411"/>
    </row>
    <row r="174" spans="1:26" s="2412" customFormat="1" ht="13.5" customHeight="1">
      <c r="A174" s="4371"/>
      <c r="B174" s="1868" t="s">
        <v>22</v>
      </c>
      <c r="C174" s="2447"/>
      <c r="D174" s="2413">
        <f>SUM(M174:W174)</f>
        <v>5007350</v>
      </c>
      <c r="E174" s="2414"/>
      <c r="F174" s="2414"/>
      <c r="G174" s="2414"/>
      <c r="H174" s="2414"/>
      <c r="I174" s="2414"/>
      <c r="J174" s="2414"/>
      <c r="K174" s="2414"/>
      <c r="L174" s="2414"/>
      <c r="M174" s="2414">
        <f>+M175+M178</f>
        <v>0</v>
      </c>
      <c r="N174" s="2414">
        <f t="shared" ref="N174:W174" si="159">+N175+N178</f>
        <v>0</v>
      </c>
      <c r="O174" s="2414">
        <f t="shared" si="159"/>
        <v>0</v>
      </c>
      <c r="P174" s="2414">
        <f t="shared" si="159"/>
        <v>705070</v>
      </c>
      <c r="Q174" s="2414">
        <f t="shared" si="159"/>
        <v>2149190</v>
      </c>
      <c r="R174" s="2414">
        <f t="shared" si="159"/>
        <v>2153090</v>
      </c>
      <c r="S174" s="2414">
        <f t="shared" si="159"/>
        <v>0</v>
      </c>
      <c r="T174" s="2414">
        <f t="shared" si="159"/>
        <v>0</v>
      </c>
      <c r="U174" s="2414">
        <f t="shared" si="159"/>
        <v>0</v>
      </c>
      <c r="V174" s="2414">
        <f t="shared" si="159"/>
        <v>0</v>
      </c>
      <c r="W174" s="2414">
        <f t="shared" si="159"/>
        <v>0</v>
      </c>
      <c r="X174" s="1900">
        <f>SUM(M174:W174)</f>
        <v>5007350</v>
      </c>
      <c r="Y174" s="3159"/>
      <c r="Z174" s="2411"/>
    </row>
    <row r="175" spans="1:26" s="2412" customFormat="1" ht="13.5" customHeight="1">
      <c r="A175" s="4371"/>
      <c r="B175" s="1823" t="s">
        <v>36</v>
      </c>
      <c r="C175" s="4474" t="s">
        <v>566</v>
      </c>
      <c r="D175" s="2415">
        <f>SUM(M175:W175)</f>
        <v>3590350</v>
      </c>
      <c r="E175" s="2416"/>
      <c r="F175" s="2417"/>
      <c r="G175" s="2417"/>
      <c r="H175" s="2417"/>
      <c r="I175" s="2418"/>
      <c r="J175" s="2418"/>
      <c r="K175" s="2418"/>
      <c r="L175" s="2418"/>
      <c r="M175" s="2247">
        <f>+M176+M177</f>
        <v>0</v>
      </c>
      <c r="N175" s="2247">
        <f t="shared" ref="N175:W175" si="160">+N176+N177</f>
        <v>0</v>
      </c>
      <c r="O175" s="2247">
        <f t="shared" si="160"/>
        <v>0</v>
      </c>
      <c r="P175" s="2247">
        <f t="shared" si="160"/>
        <v>225270</v>
      </c>
      <c r="Q175" s="2247">
        <f t="shared" si="160"/>
        <v>1524390</v>
      </c>
      <c r="R175" s="2247">
        <f t="shared" si="160"/>
        <v>1840690</v>
      </c>
      <c r="S175" s="2247">
        <f t="shared" si="160"/>
        <v>0</v>
      </c>
      <c r="T175" s="2247">
        <f t="shared" si="160"/>
        <v>0</v>
      </c>
      <c r="U175" s="2247">
        <f t="shared" si="160"/>
        <v>0</v>
      </c>
      <c r="V175" s="2247">
        <f t="shared" si="160"/>
        <v>0</v>
      </c>
      <c r="W175" s="2247">
        <f t="shared" si="160"/>
        <v>0</v>
      </c>
      <c r="X175" s="1900">
        <f t="shared" ref="X175:X180" si="161">SUM(M175:W175)</f>
        <v>3590350</v>
      </c>
      <c r="Y175" s="3159"/>
      <c r="Z175" s="2411"/>
    </row>
    <row r="176" spans="1:26" s="2412" customFormat="1" ht="13.5" customHeight="1">
      <c r="A176" s="4371"/>
      <c r="B176" s="2419" t="s">
        <v>24</v>
      </c>
      <c r="C176" s="4475"/>
      <c r="D176" s="2764">
        <f t="shared" ref="D176:D180" si="162">SUM(M176:W176)</f>
        <v>3590350</v>
      </c>
      <c r="E176" s="2244"/>
      <c r="F176" s="2252"/>
      <c r="G176" s="2252"/>
      <c r="H176" s="2252"/>
      <c r="I176" s="2243"/>
      <c r="J176" s="2243"/>
      <c r="K176" s="2243"/>
      <c r="L176" s="2243"/>
      <c r="M176" s="2240"/>
      <c r="N176" s="2244"/>
      <c r="O176" s="2764"/>
      <c r="P176" s="2764">
        <v>225270</v>
      </c>
      <c r="Q176" s="2764">
        <v>1524390</v>
      </c>
      <c r="R176" s="2764">
        <v>1840690</v>
      </c>
      <c r="S176" s="2764"/>
      <c r="T176" s="2764"/>
      <c r="U176" s="3077"/>
      <c r="V176" s="3077"/>
      <c r="W176" s="3077"/>
      <c r="X176" s="3076">
        <f t="shared" si="161"/>
        <v>3590350</v>
      </c>
      <c r="Y176" s="3159"/>
      <c r="Z176" s="2411"/>
    </row>
    <row r="177" spans="1:26" s="2412" customFormat="1" ht="13.5" hidden="1" customHeight="1">
      <c r="A177" s="4371"/>
      <c r="B177" s="2419" t="s">
        <v>78</v>
      </c>
      <c r="C177" s="4475"/>
      <c r="D177" s="2420">
        <f t="shared" si="162"/>
        <v>0</v>
      </c>
      <c r="E177" s="2421"/>
      <c r="F177" s="2422"/>
      <c r="G177" s="2422"/>
      <c r="H177" s="2422"/>
      <c r="I177" s="2423"/>
      <c r="J177" s="2423"/>
      <c r="K177" s="2423"/>
      <c r="L177" s="2423"/>
      <c r="M177" s="2432"/>
      <c r="N177" s="2421"/>
      <c r="O177" s="2420"/>
      <c r="P177" s="2420"/>
      <c r="Q177" s="2420"/>
      <c r="R177" s="2420"/>
      <c r="S177" s="2420"/>
      <c r="T177" s="2420"/>
      <c r="U177" s="2448"/>
      <c r="V177" s="2448"/>
      <c r="W177" s="2448"/>
      <c r="X177" s="2449">
        <f t="shared" si="161"/>
        <v>0</v>
      </c>
      <c r="Y177" s="3159"/>
      <c r="Z177" s="2411"/>
    </row>
    <row r="178" spans="1:26" s="2412" customFormat="1" ht="13.5" customHeight="1">
      <c r="A178" s="4371"/>
      <c r="B178" s="1851" t="s">
        <v>30</v>
      </c>
      <c r="C178" s="4475"/>
      <c r="D178" s="2415">
        <f t="shared" si="162"/>
        <v>1417000</v>
      </c>
      <c r="E178" s="2416"/>
      <c r="F178" s="2417"/>
      <c r="G178" s="2417"/>
      <c r="H178" s="2417"/>
      <c r="I178" s="2418"/>
      <c r="J178" s="2418"/>
      <c r="K178" s="2418"/>
      <c r="L178" s="2418"/>
      <c r="M178" s="2247">
        <f>+M179</f>
        <v>0</v>
      </c>
      <c r="N178" s="2247">
        <f t="shared" ref="N178:W178" si="163">+N179</f>
        <v>0</v>
      </c>
      <c r="O178" s="2247">
        <f t="shared" si="163"/>
        <v>0</v>
      </c>
      <c r="P178" s="2247">
        <f t="shared" si="163"/>
        <v>479800</v>
      </c>
      <c r="Q178" s="2247">
        <f t="shared" si="163"/>
        <v>624800</v>
      </c>
      <c r="R178" s="2247">
        <f t="shared" si="163"/>
        <v>312400</v>
      </c>
      <c r="S178" s="2247">
        <f t="shared" si="163"/>
        <v>0</v>
      </c>
      <c r="T178" s="2247">
        <f t="shared" si="163"/>
        <v>0</v>
      </c>
      <c r="U178" s="2247">
        <f t="shared" si="163"/>
        <v>0</v>
      </c>
      <c r="V178" s="2247">
        <f t="shared" si="163"/>
        <v>0</v>
      </c>
      <c r="W178" s="2247">
        <f t="shared" si="163"/>
        <v>0</v>
      </c>
      <c r="X178" s="2450">
        <f t="shared" si="161"/>
        <v>1417000</v>
      </c>
      <c r="Y178" s="3159"/>
      <c r="Z178" s="2411"/>
    </row>
    <row r="179" spans="1:26" s="2412" customFormat="1" ht="13.5" customHeight="1">
      <c r="A179" s="4371"/>
      <c r="B179" s="2426" t="s">
        <v>33</v>
      </c>
      <c r="C179" s="4475"/>
      <c r="D179" s="2764">
        <f t="shared" si="162"/>
        <v>1417000</v>
      </c>
      <c r="E179" s="2244"/>
      <c r="F179" s="2252"/>
      <c r="G179" s="2252"/>
      <c r="H179" s="2252"/>
      <c r="I179" s="2243"/>
      <c r="J179" s="2243"/>
      <c r="K179" s="2243"/>
      <c r="L179" s="2243"/>
      <c r="M179" s="2240">
        <f>+M180</f>
        <v>0</v>
      </c>
      <c r="N179" s="2240">
        <f t="shared" ref="N179:W179" si="164">+N180</f>
        <v>0</v>
      </c>
      <c r="O179" s="2240">
        <f t="shared" si="164"/>
        <v>0</v>
      </c>
      <c r="P179" s="2240">
        <f t="shared" si="164"/>
        <v>479800</v>
      </c>
      <c r="Q179" s="2240">
        <f t="shared" si="164"/>
        <v>624800</v>
      </c>
      <c r="R179" s="2240">
        <f t="shared" si="164"/>
        <v>312400</v>
      </c>
      <c r="S179" s="2240">
        <f t="shared" si="164"/>
        <v>0</v>
      </c>
      <c r="T179" s="2240">
        <f t="shared" si="164"/>
        <v>0</v>
      </c>
      <c r="U179" s="2240">
        <f t="shared" si="164"/>
        <v>0</v>
      </c>
      <c r="V179" s="2240">
        <f t="shared" si="164"/>
        <v>0</v>
      </c>
      <c r="W179" s="2240">
        <f t="shared" si="164"/>
        <v>0</v>
      </c>
      <c r="X179" s="3076">
        <f t="shared" si="161"/>
        <v>1417000</v>
      </c>
      <c r="Y179" s="3159"/>
      <c r="Z179" s="2411"/>
    </row>
    <row r="180" spans="1:26" s="2412" customFormat="1" ht="24.75" hidden="1" customHeight="1">
      <c r="A180" s="4371"/>
      <c r="B180" s="3075" t="s">
        <v>560</v>
      </c>
      <c r="C180" s="4476"/>
      <c r="D180" s="2420">
        <f t="shared" si="162"/>
        <v>1417000</v>
      </c>
      <c r="E180" s="2421"/>
      <c r="F180" s="2422"/>
      <c r="G180" s="2422"/>
      <c r="H180" s="2422"/>
      <c r="I180" s="2423"/>
      <c r="J180" s="2423"/>
      <c r="K180" s="2423"/>
      <c r="L180" s="2423"/>
      <c r="M180" s="2432"/>
      <c r="N180" s="2421"/>
      <c r="O180" s="2420"/>
      <c r="P180" s="2420">
        <v>479800</v>
      </c>
      <c r="Q180" s="2420">
        <v>624800</v>
      </c>
      <c r="R180" s="2420">
        <v>312400</v>
      </c>
      <c r="S180" s="2420"/>
      <c r="T180" s="2420"/>
      <c r="U180" s="2448"/>
      <c r="V180" s="2448"/>
      <c r="W180" s="2420"/>
      <c r="X180" s="2449">
        <f t="shared" si="161"/>
        <v>1417000</v>
      </c>
      <c r="Y180" s="3159"/>
      <c r="Z180" s="2411"/>
    </row>
    <row r="181" spans="1:26" s="2266" customFormat="1" ht="13.5" customHeight="1">
      <c r="A181" s="4371"/>
      <c r="B181" s="381" t="s">
        <v>557</v>
      </c>
      <c r="C181" s="789"/>
      <c r="D181" s="3036">
        <f t="shared" ref="D181:D186" si="165">SUM(M181:W181)</f>
        <v>1417000</v>
      </c>
      <c r="E181" s="3036"/>
      <c r="F181" s="3577"/>
      <c r="G181" s="3577"/>
      <c r="H181" s="3577"/>
      <c r="I181" s="3578"/>
      <c r="J181" s="3578"/>
      <c r="K181" s="3578"/>
      <c r="L181" s="3578"/>
      <c r="M181" s="3036">
        <f>+M182+M184</f>
        <v>0</v>
      </c>
      <c r="N181" s="3036">
        <f t="shared" ref="N181:W181" si="166">+N182+N184</f>
        <v>0</v>
      </c>
      <c r="O181" s="3036">
        <f t="shared" si="166"/>
        <v>0</v>
      </c>
      <c r="P181" s="3036">
        <f t="shared" si="166"/>
        <v>479800</v>
      </c>
      <c r="Q181" s="3036">
        <f t="shared" si="166"/>
        <v>624800</v>
      </c>
      <c r="R181" s="3036">
        <f t="shared" si="166"/>
        <v>312400</v>
      </c>
      <c r="S181" s="3036">
        <f t="shared" si="166"/>
        <v>0</v>
      </c>
      <c r="T181" s="3036">
        <f t="shared" si="166"/>
        <v>0</v>
      </c>
      <c r="U181" s="3036">
        <f t="shared" si="166"/>
        <v>0</v>
      </c>
      <c r="V181" s="3036">
        <f t="shared" si="166"/>
        <v>0</v>
      </c>
      <c r="W181" s="3036">
        <f t="shared" si="166"/>
        <v>0</v>
      </c>
      <c r="X181" s="4424" t="s">
        <v>77</v>
      </c>
      <c r="Y181" s="3159"/>
      <c r="Z181" s="2004"/>
    </row>
    <row r="182" spans="1:26" s="2266" customFormat="1" ht="13.5" hidden="1" customHeight="1">
      <c r="A182" s="4371"/>
      <c r="B182" s="779" t="s">
        <v>36</v>
      </c>
      <c r="C182" s="4422" t="s">
        <v>566</v>
      </c>
      <c r="D182" s="3554">
        <f t="shared" si="165"/>
        <v>0</v>
      </c>
      <c r="E182" s="3555"/>
      <c r="F182" s="3556"/>
      <c r="G182" s="3556"/>
      <c r="H182" s="3556"/>
      <c r="I182" s="3557"/>
      <c r="J182" s="3557"/>
      <c r="K182" s="3557"/>
      <c r="L182" s="3557"/>
      <c r="M182" s="3033">
        <f>+M183</f>
        <v>0</v>
      </c>
      <c r="N182" s="3033">
        <f t="shared" ref="N182:W182" si="167">+N183</f>
        <v>0</v>
      </c>
      <c r="O182" s="3033">
        <f t="shared" si="167"/>
        <v>0</v>
      </c>
      <c r="P182" s="3033">
        <f t="shared" si="167"/>
        <v>0</v>
      </c>
      <c r="Q182" s="3033">
        <f t="shared" si="167"/>
        <v>0</v>
      </c>
      <c r="R182" s="3033">
        <f t="shared" si="167"/>
        <v>0</v>
      </c>
      <c r="S182" s="3033">
        <f t="shared" si="167"/>
        <v>0</v>
      </c>
      <c r="T182" s="3033">
        <f t="shared" si="167"/>
        <v>0</v>
      </c>
      <c r="U182" s="3033">
        <f t="shared" si="167"/>
        <v>0</v>
      </c>
      <c r="V182" s="3033">
        <f t="shared" si="167"/>
        <v>0</v>
      </c>
      <c r="W182" s="3033">
        <f t="shared" si="167"/>
        <v>0</v>
      </c>
      <c r="X182" s="4379"/>
      <c r="Y182" s="3159"/>
      <c r="Z182" s="2004"/>
    </row>
    <row r="183" spans="1:26" s="2266" customFormat="1" ht="13.5" hidden="1" customHeight="1">
      <c r="A183" s="4371"/>
      <c r="B183" s="2346" t="s">
        <v>78</v>
      </c>
      <c r="C183" s="4423"/>
      <c r="D183" s="3034">
        <f t="shared" si="165"/>
        <v>0</v>
      </c>
      <c r="E183" s="3558"/>
      <c r="F183" s="3559"/>
      <c r="G183" s="3559"/>
      <c r="H183" s="3559"/>
      <c r="I183" s="3560"/>
      <c r="J183" s="3560"/>
      <c r="K183" s="3560"/>
      <c r="L183" s="3560"/>
      <c r="M183" s="3032"/>
      <c r="N183" s="3558"/>
      <c r="O183" s="3561"/>
      <c r="P183" s="3561"/>
      <c r="Q183" s="3561"/>
      <c r="R183" s="3561"/>
      <c r="S183" s="3561"/>
      <c r="T183" s="3561"/>
      <c r="U183" s="3561"/>
      <c r="V183" s="3561"/>
      <c r="W183" s="3561"/>
      <c r="X183" s="4379"/>
      <c r="Y183" s="3159"/>
      <c r="Z183" s="2004"/>
    </row>
    <row r="184" spans="1:26" s="2412" customFormat="1" ht="12" customHeight="1">
      <c r="A184" s="4371"/>
      <c r="B184" s="1851" t="s">
        <v>30</v>
      </c>
      <c r="C184" s="4477" t="s">
        <v>471</v>
      </c>
      <c r="D184" s="3562">
        <f t="shared" si="165"/>
        <v>1417000</v>
      </c>
      <c r="E184" s="3563"/>
      <c r="F184" s="3564"/>
      <c r="G184" s="3564"/>
      <c r="H184" s="3564"/>
      <c r="I184" s="3565"/>
      <c r="J184" s="3565"/>
      <c r="K184" s="3565"/>
      <c r="L184" s="3565"/>
      <c r="M184" s="3566">
        <f>+M185</f>
        <v>0</v>
      </c>
      <c r="N184" s="3566">
        <f t="shared" ref="N184:W184" si="168">+N185</f>
        <v>0</v>
      </c>
      <c r="O184" s="3566">
        <f t="shared" si="168"/>
        <v>0</v>
      </c>
      <c r="P184" s="3566">
        <f t="shared" si="168"/>
        <v>479800</v>
      </c>
      <c r="Q184" s="3566">
        <f t="shared" si="168"/>
        <v>624800</v>
      </c>
      <c r="R184" s="3566">
        <f t="shared" si="168"/>
        <v>312400</v>
      </c>
      <c r="S184" s="3566">
        <f t="shared" si="168"/>
        <v>0</v>
      </c>
      <c r="T184" s="3566">
        <f t="shared" si="168"/>
        <v>0</v>
      </c>
      <c r="U184" s="3566">
        <f t="shared" si="168"/>
        <v>0</v>
      </c>
      <c r="V184" s="3566">
        <f t="shared" si="168"/>
        <v>0</v>
      </c>
      <c r="W184" s="3566">
        <f t="shared" si="168"/>
        <v>0</v>
      </c>
      <c r="X184" s="4379"/>
      <c r="Y184" s="3159"/>
      <c r="Z184" s="2411"/>
    </row>
    <row r="185" spans="1:26" s="2412" customFormat="1" ht="15" customHeight="1" thickBot="1">
      <c r="A185" s="4430"/>
      <c r="B185" s="2426" t="s">
        <v>33</v>
      </c>
      <c r="C185" s="4478"/>
      <c r="D185" s="3567">
        <f>SUM(M185:W185)</f>
        <v>1417000</v>
      </c>
      <c r="E185" s="2915"/>
      <c r="F185" s="3568"/>
      <c r="G185" s="3568"/>
      <c r="H185" s="3568"/>
      <c r="I185" s="3569"/>
      <c r="J185" s="3569"/>
      <c r="K185" s="3569"/>
      <c r="L185" s="3569"/>
      <c r="M185" s="2916">
        <f>+M186</f>
        <v>0</v>
      </c>
      <c r="N185" s="2916">
        <f t="shared" ref="N185:W185" si="169">+N186</f>
        <v>0</v>
      </c>
      <c r="O185" s="2916">
        <f t="shared" si="169"/>
        <v>0</v>
      </c>
      <c r="P185" s="2916">
        <f t="shared" si="169"/>
        <v>479800</v>
      </c>
      <c r="Q185" s="2916">
        <f t="shared" si="169"/>
        <v>624800</v>
      </c>
      <c r="R185" s="2916">
        <f t="shared" si="169"/>
        <v>312400</v>
      </c>
      <c r="S185" s="2916">
        <f t="shared" si="169"/>
        <v>0</v>
      </c>
      <c r="T185" s="2916">
        <f t="shared" si="169"/>
        <v>0</v>
      </c>
      <c r="U185" s="2916">
        <f t="shared" si="169"/>
        <v>0</v>
      </c>
      <c r="V185" s="2916">
        <f t="shared" si="169"/>
        <v>0</v>
      </c>
      <c r="W185" s="2916">
        <f t="shared" si="169"/>
        <v>0</v>
      </c>
      <c r="X185" s="4379"/>
      <c r="Y185" s="3159"/>
      <c r="Z185" s="2411"/>
    </row>
    <row r="186" spans="1:26" s="2317" customFormat="1" ht="24" hidden="1" customHeight="1">
      <c r="A186" s="2347"/>
      <c r="B186" s="3579" t="s">
        <v>554</v>
      </c>
      <c r="C186" s="4478"/>
      <c r="D186" s="3580">
        <f t="shared" si="165"/>
        <v>1417000</v>
      </c>
      <c r="E186" s="3581"/>
      <c r="F186" s="3582"/>
      <c r="G186" s="3582"/>
      <c r="H186" s="3582"/>
      <c r="I186" s="3583"/>
      <c r="J186" s="3583"/>
      <c r="K186" s="3583"/>
      <c r="L186" s="3583"/>
      <c r="M186" s="3584"/>
      <c r="N186" s="3581"/>
      <c r="O186" s="3580"/>
      <c r="P186" s="3580">
        <v>479800</v>
      </c>
      <c r="Q186" s="3580">
        <v>624800</v>
      </c>
      <c r="R186" s="3580">
        <v>312400</v>
      </c>
      <c r="S186" s="3585"/>
      <c r="T186" s="3585"/>
      <c r="U186" s="3585"/>
      <c r="V186" s="3585"/>
      <c r="W186" s="3585"/>
      <c r="X186" s="4379"/>
      <c r="Y186" s="3159"/>
      <c r="Z186" s="2318"/>
    </row>
    <row r="187" spans="1:26" s="2412" customFormat="1" ht="15.75" customHeight="1">
      <c r="A187" s="4486" t="s">
        <v>615</v>
      </c>
      <c r="B187" s="2409" t="s">
        <v>559</v>
      </c>
      <c r="C187" s="3586" t="s">
        <v>98</v>
      </c>
      <c r="D187" s="3587"/>
      <c r="E187" s="3588"/>
      <c r="F187" s="3589"/>
      <c r="G187" s="3589"/>
      <c r="H187" s="3590"/>
      <c r="I187" s="3591"/>
      <c r="J187" s="3592"/>
      <c r="K187" s="3591"/>
      <c r="L187" s="3591"/>
      <c r="M187" s="3593"/>
      <c r="N187" s="3593"/>
      <c r="O187" s="3593"/>
      <c r="P187" s="3588"/>
      <c r="Q187" s="3588"/>
      <c r="R187" s="3588"/>
      <c r="S187" s="3588"/>
      <c r="T187" s="3588"/>
      <c r="U187" s="3588"/>
      <c r="V187" s="3588"/>
      <c r="W187" s="3594"/>
      <c r="X187" s="3595"/>
      <c r="Y187" s="3159"/>
      <c r="Z187" s="2411"/>
    </row>
    <row r="188" spans="1:26" s="2412" customFormat="1" ht="13.5" customHeight="1">
      <c r="A188" s="4371"/>
      <c r="B188" s="1868" t="s">
        <v>22</v>
      </c>
      <c r="C188" s="3596"/>
      <c r="D188" s="2413">
        <f t="shared" ref="D188:D195" si="170">SUM(M188:W188)</f>
        <v>29699570</v>
      </c>
      <c r="E188" s="2414"/>
      <c r="F188" s="2414"/>
      <c r="G188" s="2414"/>
      <c r="H188" s="2414"/>
      <c r="I188" s="2414"/>
      <c r="J188" s="2414"/>
      <c r="K188" s="2414"/>
      <c r="L188" s="2414"/>
      <c r="M188" s="2414">
        <f>+M189+M192</f>
        <v>0</v>
      </c>
      <c r="N188" s="2414">
        <f t="shared" ref="N188:W188" si="171">+N189+N192</f>
        <v>0</v>
      </c>
      <c r="O188" s="2414">
        <f t="shared" si="171"/>
        <v>0</v>
      </c>
      <c r="P188" s="2414">
        <f t="shared" si="171"/>
        <v>965300</v>
      </c>
      <c r="Q188" s="2414">
        <f t="shared" si="171"/>
        <v>12399700</v>
      </c>
      <c r="R188" s="2414">
        <f t="shared" si="171"/>
        <v>16334570</v>
      </c>
      <c r="S188" s="2414">
        <f t="shared" si="171"/>
        <v>0</v>
      </c>
      <c r="T188" s="2414">
        <f t="shared" si="171"/>
        <v>0</v>
      </c>
      <c r="U188" s="2414">
        <f t="shared" si="171"/>
        <v>0</v>
      </c>
      <c r="V188" s="2414">
        <f t="shared" si="171"/>
        <v>0</v>
      </c>
      <c r="W188" s="2414">
        <f t="shared" si="171"/>
        <v>0</v>
      </c>
      <c r="X188" s="1900">
        <f>+X189+X192</f>
        <v>29699570</v>
      </c>
      <c r="Y188" s="3159"/>
      <c r="Z188" s="2411"/>
    </row>
    <row r="189" spans="1:26" s="2412" customFormat="1" ht="14.25" customHeight="1">
      <c r="A189" s="4371"/>
      <c r="B189" s="1823" t="s">
        <v>36</v>
      </c>
      <c r="C189" s="4474" t="s">
        <v>566</v>
      </c>
      <c r="D189" s="3597">
        <f t="shared" si="170"/>
        <v>4104770</v>
      </c>
      <c r="E189" s="3598"/>
      <c r="F189" s="3599"/>
      <c r="G189" s="3599"/>
      <c r="H189" s="3599"/>
      <c r="I189" s="3600"/>
      <c r="J189" s="3600"/>
      <c r="K189" s="3600"/>
      <c r="L189" s="3600"/>
      <c r="M189" s="3601">
        <f>+M190+M191</f>
        <v>0</v>
      </c>
      <c r="N189" s="3601">
        <f t="shared" ref="N189:W189" si="172">+N190+N191</f>
        <v>0</v>
      </c>
      <c r="O189" s="3601">
        <f t="shared" si="172"/>
        <v>0</v>
      </c>
      <c r="P189" s="3601">
        <f t="shared" si="172"/>
        <v>1300</v>
      </c>
      <c r="Q189" s="3601">
        <f t="shared" si="172"/>
        <v>2771900</v>
      </c>
      <c r="R189" s="3601">
        <f t="shared" si="172"/>
        <v>1331570</v>
      </c>
      <c r="S189" s="3601">
        <f t="shared" si="172"/>
        <v>0</v>
      </c>
      <c r="T189" s="3601">
        <f t="shared" si="172"/>
        <v>0</v>
      </c>
      <c r="U189" s="3601">
        <f t="shared" si="172"/>
        <v>0</v>
      </c>
      <c r="V189" s="3601">
        <f t="shared" si="172"/>
        <v>0</v>
      </c>
      <c r="W189" s="3601">
        <f t="shared" si="172"/>
        <v>0</v>
      </c>
      <c r="X189" s="3602">
        <f t="shared" ref="X189:X195" si="173">SUM(M189:W189)</f>
        <v>4104770</v>
      </c>
      <c r="Y189" s="3159"/>
      <c r="Z189" s="2411"/>
    </row>
    <row r="190" spans="1:26" s="2412" customFormat="1" ht="15" customHeight="1">
      <c r="A190" s="4371"/>
      <c r="B190" s="2419" t="s">
        <v>24</v>
      </c>
      <c r="C190" s="4475"/>
      <c r="D190" s="3567">
        <f t="shared" si="170"/>
        <v>4104770</v>
      </c>
      <c r="E190" s="2915"/>
      <c r="F190" s="3568"/>
      <c r="G190" s="3568"/>
      <c r="H190" s="3568"/>
      <c r="I190" s="3569"/>
      <c r="J190" s="3569"/>
      <c r="K190" s="3569"/>
      <c r="L190" s="3569"/>
      <c r="M190" s="2916"/>
      <c r="N190" s="2915"/>
      <c r="O190" s="3567"/>
      <c r="P190" s="3567">
        <v>1300</v>
      </c>
      <c r="Q190" s="3567">
        <v>2771900</v>
      </c>
      <c r="R190" s="3567">
        <v>1331570</v>
      </c>
      <c r="S190" s="3567"/>
      <c r="T190" s="3567"/>
      <c r="U190" s="3567"/>
      <c r="V190" s="3567"/>
      <c r="W190" s="3567"/>
      <c r="X190" s="3603">
        <f t="shared" si="173"/>
        <v>4104770</v>
      </c>
      <c r="Y190" s="3159"/>
      <c r="Z190" s="2411"/>
    </row>
    <row r="191" spans="1:26" s="2412" customFormat="1" ht="17.25" hidden="1" customHeight="1">
      <c r="A191" s="4371"/>
      <c r="B191" s="2419" t="s">
        <v>78</v>
      </c>
      <c r="C191" s="4475"/>
      <c r="D191" s="3570">
        <f t="shared" si="170"/>
        <v>0</v>
      </c>
      <c r="E191" s="3571"/>
      <c r="F191" s="3572"/>
      <c r="G191" s="3572"/>
      <c r="H191" s="3572"/>
      <c r="I191" s="3573"/>
      <c r="J191" s="3573"/>
      <c r="K191" s="3573"/>
      <c r="L191" s="3573"/>
      <c r="M191" s="3574"/>
      <c r="N191" s="3571"/>
      <c r="O191" s="3570"/>
      <c r="P191" s="3570"/>
      <c r="Q191" s="3570"/>
      <c r="R191" s="3570"/>
      <c r="S191" s="3570"/>
      <c r="T191" s="3570"/>
      <c r="U191" s="3570"/>
      <c r="V191" s="3570"/>
      <c r="W191" s="3570"/>
      <c r="X191" s="3604">
        <f t="shared" si="173"/>
        <v>0</v>
      </c>
      <c r="Y191" s="3159"/>
      <c r="Z191" s="2411"/>
    </row>
    <row r="192" spans="1:26" s="2412" customFormat="1" ht="13.5" customHeight="1">
      <c r="A192" s="4371"/>
      <c r="B192" s="1851" t="s">
        <v>30</v>
      </c>
      <c r="C192" s="4475"/>
      <c r="D192" s="3597">
        <f t="shared" si="170"/>
        <v>25594800</v>
      </c>
      <c r="E192" s="3598"/>
      <c r="F192" s="3599"/>
      <c r="G192" s="3599"/>
      <c r="H192" s="3599"/>
      <c r="I192" s="3600"/>
      <c r="J192" s="3600"/>
      <c r="K192" s="3600"/>
      <c r="L192" s="3600"/>
      <c r="M192" s="3601">
        <f>+M193</f>
        <v>0</v>
      </c>
      <c r="N192" s="3601">
        <f t="shared" ref="N192:W192" si="174">+N193</f>
        <v>0</v>
      </c>
      <c r="O192" s="3601">
        <f t="shared" si="174"/>
        <v>0</v>
      </c>
      <c r="P192" s="3601">
        <f t="shared" si="174"/>
        <v>964000</v>
      </c>
      <c r="Q192" s="3601">
        <f t="shared" si="174"/>
        <v>9627800</v>
      </c>
      <c r="R192" s="3601">
        <f t="shared" si="174"/>
        <v>15003000</v>
      </c>
      <c r="S192" s="3601">
        <f t="shared" si="174"/>
        <v>0</v>
      </c>
      <c r="T192" s="3601">
        <f t="shared" si="174"/>
        <v>0</v>
      </c>
      <c r="U192" s="3601">
        <f t="shared" si="174"/>
        <v>0</v>
      </c>
      <c r="V192" s="3601">
        <f t="shared" si="174"/>
        <v>0</v>
      </c>
      <c r="W192" s="3601">
        <f t="shared" si="174"/>
        <v>0</v>
      </c>
      <c r="X192" s="3602">
        <f t="shared" si="173"/>
        <v>25594800</v>
      </c>
      <c r="Y192" s="3159"/>
      <c r="Z192" s="2411"/>
    </row>
    <row r="193" spans="1:26" s="2412" customFormat="1" ht="13.5" customHeight="1">
      <c r="A193" s="4371"/>
      <c r="B193" s="2426" t="s">
        <v>33</v>
      </c>
      <c r="C193" s="4475"/>
      <c r="D193" s="3567">
        <f t="shared" si="170"/>
        <v>25594800</v>
      </c>
      <c r="E193" s="2915"/>
      <c r="F193" s="3568"/>
      <c r="G193" s="3568"/>
      <c r="H193" s="3568"/>
      <c r="I193" s="3569"/>
      <c r="J193" s="3569"/>
      <c r="K193" s="3569"/>
      <c r="L193" s="3569"/>
      <c r="M193" s="2916">
        <f>+M194+M195</f>
        <v>0</v>
      </c>
      <c r="N193" s="2916">
        <f t="shared" ref="N193:W193" si="175">+N194+N195</f>
        <v>0</v>
      </c>
      <c r="O193" s="2916">
        <f t="shared" si="175"/>
        <v>0</v>
      </c>
      <c r="P193" s="2916">
        <f t="shared" si="175"/>
        <v>964000</v>
      </c>
      <c r="Q193" s="2916">
        <f t="shared" si="175"/>
        <v>9627800</v>
      </c>
      <c r="R193" s="2916">
        <f t="shared" si="175"/>
        <v>15003000</v>
      </c>
      <c r="S193" s="2916">
        <f t="shared" si="175"/>
        <v>0</v>
      </c>
      <c r="T193" s="2916">
        <f t="shared" si="175"/>
        <v>0</v>
      </c>
      <c r="U193" s="2916">
        <f t="shared" si="175"/>
        <v>0</v>
      </c>
      <c r="V193" s="2916">
        <f t="shared" si="175"/>
        <v>0</v>
      </c>
      <c r="W193" s="2916">
        <f t="shared" si="175"/>
        <v>0</v>
      </c>
      <c r="X193" s="3603">
        <f t="shared" si="173"/>
        <v>25594800</v>
      </c>
      <c r="Y193" s="3159"/>
      <c r="Z193" s="2411"/>
    </row>
    <row r="194" spans="1:26" s="2412" customFormat="1" ht="27" hidden="1" customHeight="1">
      <c r="A194" s="4371"/>
      <c r="B194" s="3075" t="s">
        <v>554</v>
      </c>
      <c r="C194" s="4475"/>
      <c r="D194" s="3570">
        <f t="shared" si="170"/>
        <v>15594800</v>
      </c>
      <c r="E194" s="3571"/>
      <c r="F194" s="3572"/>
      <c r="G194" s="3572"/>
      <c r="H194" s="3572"/>
      <c r="I194" s="3573"/>
      <c r="J194" s="3573"/>
      <c r="K194" s="3573"/>
      <c r="L194" s="3573"/>
      <c r="M194" s="3574">
        <v>0</v>
      </c>
      <c r="N194" s="3571"/>
      <c r="O194" s="3570">
        <v>0</v>
      </c>
      <c r="P194" s="3570">
        <v>964000</v>
      </c>
      <c r="Q194" s="3570">
        <v>6627800</v>
      </c>
      <c r="R194" s="3570">
        <v>8003000</v>
      </c>
      <c r="S194" s="3570">
        <v>0</v>
      </c>
      <c r="T194" s="3570">
        <v>0</v>
      </c>
      <c r="U194" s="3570">
        <v>0</v>
      </c>
      <c r="V194" s="3570">
        <v>0</v>
      </c>
      <c r="W194" s="3570">
        <v>0</v>
      </c>
      <c r="X194" s="3604">
        <f t="shared" si="173"/>
        <v>15594800</v>
      </c>
      <c r="Y194" s="3159"/>
      <c r="Z194" s="2411"/>
    </row>
    <row r="195" spans="1:26" s="2412" customFormat="1" ht="21.75" hidden="1" customHeight="1">
      <c r="A195" s="4371"/>
      <c r="B195" s="3075" t="s">
        <v>555</v>
      </c>
      <c r="C195" s="4476"/>
      <c r="D195" s="3570">
        <f t="shared" si="170"/>
        <v>10000000</v>
      </c>
      <c r="E195" s="3571"/>
      <c r="F195" s="3572"/>
      <c r="G195" s="3572"/>
      <c r="H195" s="3572"/>
      <c r="I195" s="3573"/>
      <c r="J195" s="3573"/>
      <c r="K195" s="3573"/>
      <c r="L195" s="3573"/>
      <c r="M195" s="3574">
        <v>0</v>
      </c>
      <c r="N195" s="3571"/>
      <c r="O195" s="3570">
        <v>0</v>
      </c>
      <c r="P195" s="3570">
        <v>0</v>
      </c>
      <c r="Q195" s="3570">
        <v>3000000</v>
      </c>
      <c r="R195" s="3570">
        <v>7000000</v>
      </c>
      <c r="S195" s="3570"/>
      <c r="T195" s="3570">
        <v>0</v>
      </c>
      <c r="U195" s="3570">
        <v>0</v>
      </c>
      <c r="V195" s="3570">
        <v>0</v>
      </c>
      <c r="W195" s="3570">
        <v>0</v>
      </c>
      <c r="X195" s="3604">
        <f t="shared" si="173"/>
        <v>10000000</v>
      </c>
      <c r="Y195" s="3159"/>
      <c r="Z195" s="2411"/>
    </row>
    <row r="196" spans="1:26" s="2412" customFormat="1" ht="13.5" customHeight="1">
      <c r="A196" s="4371"/>
      <c r="B196" s="1868" t="s">
        <v>557</v>
      </c>
      <c r="C196" s="2253"/>
      <c r="D196" s="2414">
        <f t="shared" ref="D196:W196" si="176">+D197+D199</f>
        <v>25594800</v>
      </c>
      <c r="E196" s="2414">
        <f t="shared" si="176"/>
        <v>0</v>
      </c>
      <c r="F196" s="2414">
        <f t="shared" si="176"/>
        <v>0</v>
      </c>
      <c r="G196" s="2414">
        <f t="shared" si="176"/>
        <v>0</v>
      </c>
      <c r="H196" s="2414">
        <f t="shared" si="176"/>
        <v>0</v>
      </c>
      <c r="I196" s="2414">
        <f t="shared" si="176"/>
        <v>0</v>
      </c>
      <c r="J196" s="2414">
        <f t="shared" si="176"/>
        <v>0</v>
      </c>
      <c r="K196" s="2414">
        <f t="shared" si="176"/>
        <v>0</v>
      </c>
      <c r="L196" s="2414">
        <f t="shared" si="176"/>
        <v>0</v>
      </c>
      <c r="M196" s="2414">
        <f t="shared" si="176"/>
        <v>0</v>
      </c>
      <c r="N196" s="2414">
        <f t="shared" si="176"/>
        <v>0</v>
      </c>
      <c r="O196" s="2414">
        <f t="shared" si="176"/>
        <v>0</v>
      </c>
      <c r="P196" s="2414">
        <f t="shared" si="176"/>
        <v>964000</v>
      </c>
      <c r="Q196" s="2414">
        <f t="shared" si="176"/>
        <v>9627800</v>
      </c>
      <c r="R196" s="2414">
        <f t="shared" si="176"/>
        <v>15003000</v>
      </c>
      <c r="S196" s="2414">
        <f t="shared" si="176"/>
        <v>0</v>
      </c>
      <c r="T196" s="2414">
        <f t="shared" si="176"/>
        <v>0</v>
      </c>
      <c r="U196" s="2414">
        <f t="shared" si="176"/>
        <v>0</v>
      </c>
      <c r="V196" s="2414">
        <f t="shared" si="176"/>
        <v>0</v>
      </c>
      <c r="W196" s="2414">
        <f t="shared" si="176"/>
        <v>0</v>
      </c>
      <c r="X196" s="4424" t="s">
        <v>77</v>
      </c>
      <c r="Y196" s="3159"/>
      <c r="Z196" s="2411"/>
    </row>
    <row r="197" spans="1:26" s="2412" customFormat="1" ht="13.5" hidden="1" customHeight="1">
      <c r="A197" s="4371"/>
      <c r="B197" s="1823" t="s">
        <v>36</v>
      </c>
      <c r="C197" s="4474" t="s">
        <v>566</v>
      </c>
      <c r="D197" s="3597">
        <f t="shared" ref="D197:D202" si="177">SUM(M197:W197)</f>
        <v>0</v>
      </c>
      <c r="E197" s="3598"/>
      <c r="F197" s="3599"/>
      <c r="G197" s="3599"/>
      <c r="H197" s="3599"/>
      <c r="I197" s="3600"/>
      <c r="J197" s="3600"/>
      <c r="K197" s="3600"/>
      <c r="L197" s="3600"/>
      <c r="M197" s="3601">
        <f t="shared" ref="M197:W197" si="178">+M198</f>
        <v>0</v>
      </c>
      <c r="N197" s="3601">
        <f t="shared" si="178"/>
        <v>0</v>
      </c>
      <c r="O197" s="3601">
        <f t="shared" si="178"/>
        <v>0</v>
      </c>
      <c r="P197" s="3601">
        <f t="shared" si="178"/>
        <v>0</v>
      </c>
      <c r="Q197" s="3601">
        <f t="shared" si="178"/>
        <v>0</v>
      </c>
      <c r="R197" s="3601">
        <f t="shared" si="178"/>
        <v>0</v>
      </c>
      <c r="S197" s="3601">
        <f t="shared" si="178"/>
        <v>0</v>
      </c>
      <c r="T197" s="3601">
        <f t="shared" si="178"/>
        <v>0</v>
      </c>
      <c r="U197" s="3601">
        <f t="shared" si="178"/>
        <v>0</v>
      </c>
      <c r="V197" s="3601">
        <f t="shared" si="178"/>
        <v>0</v>
      </c>
      <c r="W197" s="3601">
        <f t="shared" si="178"/>
        <v>0</v>
      </c>
      <c r="X197" s="4379"/>
      <c r="Y197" s="3159"/>
      <c r="Z197" s="2411"/>
    </row>
    <row r="198" spans="1:26" s="2412" customFormat="1" ht="15" hidden="1" customHeight="1">
      <c r="A198" s="4371"/>
      <c r="B198" s="2419" t="s">
        <v>78</v>
      </c>
      <c r="C198" s="4476"/>
      <c r="D198" s="3570">
        <f t="shared" si="177"/>
        <v>0</v>
      </c>
      <c r="E198" s="3571"/>
      <c r="F198" s="3572"/>
      <c r="G198" s="3572"/>
      <c r="H198" s="3572"/>
      <c r="I198" s="3573"/>
      <c r="J198" s="3573"/>
      <c r="K198" s="3573"/>
      <c r="L198" s="3573"/>
      <c r="M198" s="3574"/>
      <c r="N198" s="3571"/>
      <c r="O198" s="3570"/>
      <c r="P198" s="3570"/>
      <c r="Q198" s="3570"/>
      <c r="R198" s="3570"/>
      <c r="S198" s="3570"/>
      <c r="T198" s="3570"/>
      <c r="U198" s="3570"/>
      <c r="V198" s="3570"/>
      <c r="W198" s="3570"/>
      <c r="X198" s="4379"/>
      <c r="Y198" s="3159"/>
      <c r="Z198" s="2411"/>
    </row>
    <row r="199" spans="1:26" s="2412" customFormat="1" ht="13.5" customHeight="1">
      <c r="A199" s="4371"/>
      <c r="B199" s="1851" t="s">
        <v>30</v>
      </c>
      <c r="C199" s="4482" t="s">
        <v>591</v>
      </c>
      <c r="D199" s="3597">
        <f t="shared" si="177"/>
        <v>25594800</v>
      </c>
      <c r="E199" s="3598"/>
      <c r="F199" s="3599"/>
      <c r="G199" s="3599"/>
      <c r="H199" s="3599"/>
      <c r="I199" s="3600"/>
      <c r="J199" s="3600"/>
      <c r="K199" s="3600"/>
      <c r="L199" s="3600"/>
      <c r="M199" s="3601">
        <f>+M200</f>
        <v>0</v>
      </c>
      <c r="N199" s="3601">
        <f t="shared" ref="N199:W199" si="179">+N200</f>
        <v>0</v>
      </c>
      <c r="O199" s="3601">
        <f t="shared" si="179"/>
        <v>0</v>
      </c>
      <c r="P199" s="3601">
        <f t="shared" si="179"/>
        <v>964000</v>
      </c>
      <c r="Q199" s="3601">
        <f t="shared" si="179"/>
        <v>9627800</v>
      </c>
      <c r="R199" s="3601">
        <f t="shared" si="179"/>
        <v>15003000</v>
      </c>
      <c r="S199" s="3601">
        <f t="shared" si="179"/>
        <v>0</v>
      </c>
      <c r="T199" s="3601">
        <f t="shared" si="179"/>
        <v>0</v>
      </c>
      <c r="U199" s="3601">
        <f t="shared" si="179"/>
        <v>0</v>
      </c>
      <c r="V199" s="3601">
        <f t="shared" si="179"/>
        <v>0</v>
      </c>
      <c r="W199" s="3601">
        <f t="shared" si="179"/>
        <v>0</v>
      </c>
      <c r="X199" s="4379"/>
      <c r="Y199" s="3159"/>
      <c r="Z199" s="2411"/>
    </row>
    <row r="200" spans="1:26" s="2412" customFormat="1" ht="12" customHeight="1">
      <c r="A200" s="4487"/>
      <c r="B200" s="3073" t="s">
        <v>33</v>
      </c>
      <c r="C200" s="4483"/>
      <c r="D200" s="3567">
        <f t="shared" si="177"/>
        <v>25594800</v>
      </c>
      <c r="E200" s="2915"/>
      <c r="F200" s="3568"/>
      <c r="G200" s="3568"/>
      <c r="H200" s="3568"/>
      <c r="I200" s="3569"/>
      <c r="J200" s="3569"/>
      <c r="K200" s="3569"/>
      <c r="L200" s="3569"/>
      <c r="M200" s="2916">
        <f>+M201+M202</f>
        <v>0</v>
      </c>
      <c r="N200" s="2916">
        <f t="shared" ref="N200:W200" si="180">+N201+N202</f>
        <v>0</v>
      </c>
      <c r="O200" s="2916">
        <f t="shared" si="180"/>
        <v>0</v>
      </c>
      <c r="P200" s="3567">
        <f t="shared" si="180"/>
        <v>964000</v>
      </c>
      <c r="Q200" s="3567">
        <f t="shared" si="180"/>
        <v>9627800</v>
      </c>
      <c r="R200" s="3567">
        <f t="shared" si="180"/>
        <v>15003000</v>
      </c>
      <c r="S200" s="3567">
        <f t="shared" si="180"/>
        <v>0</v>
      </c>
      <c r="T200" s="3567">
        <f t="shared" si="180"/>
        <v>0</v>
      </c>
      <c r="U200" s="3567">
        <f t="shared" si="180"/>
        <v>0</v>
      </c>
      <c r="V200" s="3567">
        <f t="shared" si="180"/>
        <v>0</v>
      </c>
      <c r="W200" s="3567">
        <f t="shared" si="180"/>
        <v>0</v>
      </c>
      <c r="X200" s="4379"/>
      <c r="Y200" s="3159"/>
      <c r="Z200" s="2411"/>
    </row>
    <row r="201" spans="1:26" s="2317" customFormat="1" ht="22.5" hidden="1" customHeight="1">
      <c r="A201" s="2347"/>
      <c r="B201" s="3058" t="s">
        <v>561</v>
      </c>
      <c r="C201" s="3162" t="s">
        <v>471</v>
      </c>
      <c r="D201" s="3570">
        <f t="shared" si="177"/>
        <v>15594800</v>
      </c>
      <c r="E201" s="3605"/>
      <c r="F201" s="3606"/>
      <c r="G201" s="3606"/>
      <c r="H201" s="3606"/>
      <c r="I201" s="3607"/>
      <c r="J201" s="3607"/>
      <c r="K201" s="3607"/>
      <c r="L201" s="3607"/>
      <c r="M201" s="3608"/>
      <c r="N201" s="3605"/>
      <c r="O201" s="3575"/>
      <c r="P201" s="3570">
        <v>964000</v>
      </c>
      <c r="Q201" s="3570">
        <v>6627800</v>
      </c>
      <c r="R201" s="3570">
        <v>8003000</v>
      </c>
      <c r="S201" s="3575"/>
      <c r="T201" s="3575"/>
      <c r="U201" s="3575"/>
      <c r="V201" s="3575"/>
      <c r="W201" s="3575"/>
      <c r="X201" s="4379"/>
      <c r="Y201" s="3159"/>
      <c r="Z201" s="2318"/>
    </row>
    <row r="202" spans="1:26" s="2412" customFormat="1" ht="24" hidden="1" customHeight="1">
      <c r="A202" s="2408"/>
      <c r="B202" s="3075" t="s">
        <v>562</v>
      </c>
      <c r="C202" s="3162" t="s">
        <v>401</v>
      </c>
      <c r="D202" s="3567">
        <f t="shared" si="177"/>
        <v>10000000</v>
      </c>
      <c r="E202" s="2915"/>
      <c r="F202" s="3568"/>
      <c r="G202" s="3568"/>
      <c r="H202" s="3568"/>
      <c r="I202" s="3569"/>
      <c r="J202" s="3569"/>
      <c r="K202" s="3569"/>
      <c r="L202" s="3569"/>
      <c r="M202" s="2916"/>
      <c r="N202" s="2915"/>
      <c r="O202" s="3567"/>
      <c r="P202" s="3567">
        <v>0</v>
      </c>
      <c r="Q202" s="3567">
        <v>3000000</v>
      </c>
      <c r="R202" s="3567">
        <v>7000000</v>
      </c>
      <c r="S202" s="3567"/>
      <c r="T202" s="3567"/>
      <c r="U202" s="3567"/>
      <c r="V202" s="3567"/>
      <c r="W202" s="3567"/>
      <c r="X202" s="4425"/>
      <c r="Y202" s="3159"/>
      <c r="Z202" s="2411"/>
    </row>
    <row r="203" spans="1:26" s="2412" customFormat="1" ht="15" customHeight="1">
      <c r="A203" s="4371" t="s">
        <v>616</v>
      </c>
      <c r="B203" s="2427" t="s">
        <v>563</v>
      </c>
      <c r="C203" s="2428" t="s">
        <v>131</v>
      </c>
      <c r="D203" s="3587"/>
      <c r="E203" s="3588"/>
      <c r="F203" s="3589"/>
      <c r="G203" s="3589"/>
      <c r="H203" s="3590"/>
      <c r="I203" s="3591"/>
      <c r="J203" s="3592"/>
      <c r="K203" s="3591"/>
      <c r="L203" s="3591"/>
      <c r="M203" s="3593"/>
      <c r="N203" s="3593"/>
      <c r="O203" s="3593"/>
      <c r="P203" s="3588"/>
      <c r="Q203" s="3588"/>
      <c r="R203" s="3588"/>
      <c r="S203" s="3588"/>
      <c r="T203" s="3588"/>
      <c r="U203" s="3588"/>
      <c r="V203" s="3588"/>
      <c r="W203" s="3594"/>
      <c r="X203" s="3595"/>
      <c r="Y203" s="3159"/>
      <c r="Z203" s="2411"/>
    </row>
    <row r="204" spans="1:26" s="2412" customFormat="1" ht="13.5" customHeight="1">
      <c r="A204" s="4371"/>
      <c r="B204" s="1868" t="s">
        <v>22</v>
      </c>
      <c r="C204" s="3596"/>
      <c r="D204" s="2413">
        <f>+D205+D207</f>
        <v>1562200</v>
      </c>
      <c r="E204" s="2413">
        <f t="shared" ref="E204:W204" si="181">+E205+E207</f>
        <v>0</v>
      </c>
      <c r="F204" s="2413">
        <f t="shared" si="181"/>
        <v>0</v>
      </c>
      <c r="G204" s="2413">
        <f t="shared" si="181"/>
        <v>0</v>
      </c>
      <c r="H204" s="2413">
        <f t="shared" si="181"/>
        <v>0</v>
      </c>
      <c r="I204" s="2413">
        <f t="shared" si="181"/>
        <v>0</v>
      </c>
      <c r="J204" s="2413">
        <f t="shared" si="181"/>
        <v>0</v>
      </c>
      <c r="K204" s="2413">
        <f t="shared" si="181"/>
        <v>0</v>
      </c>
      <c r="L204" s="2413">
        <f t="shared" si="181"/>
        <v>0</v>
      </c>
      <c r="M204" s="2413">
        <f t="shared" si="181"/>
        <v>0</v>
      </c>
      <c r="N204" s="2413">
        <f t="shared" si="181"/>
        <v>0</v>
      </c>
      <c r="O204" s="2413">
        <f t="shared" si="181"/>
        <v>0</v>
      </c>
      <c r="P204" s="2413">
        <f t="shared" si="181"/>
        <v>0</v>
      </c>
      <c r="Q204" s="2413">
        <f t="shared" si="181"/>
        <v>0</v>
      </c>
      <c r="R204" s="2413">
        <f t="shared" si="181"/>
        <v>312400</v>
      </c>
      <c r="S204" s="2413">
        <f t="shared" si="181"/>
        <v>624800</v>
      </c>
      <c r="T204" s="2413">
        <f t="shared" si="181"/>
        <v>625000</v>
      </c>
      <c r="U204" s="2413">
        <f t="shared" si="181"/>
        <v>0</v>
      </c>
      <c r="V204" s="2413">
        <f t="shared" si="181"/>
        <v>0</v>
      </c>
      <c r="W204" s="2413">
        <f t="shared" si="181"/>
        <v>0</v>
      </c>
      <c r="X204" s="2429">
        <f>+X205+X207</f>
        <v>1562200</v>
      </c>
      <c r="Y204" s="3159"/>
      <c r="Z204" s="2411"/>
    </row>
    <row r="205" spans="1:26" s="2412" customFormat="1" ht="13.5" hidden="1" customHeight="1">
      <c r="A205" s="4371"/>
      <c r="B205" s="2430" t="s">
        <v>36</v>
      </c>
      <c r="C205" s="4484" t="s">
        <v>566</v>
      </c>
      <c r="D205" s="3597">
        <f>SUM(M205:W205)</f>
        <v>0</v>
      </c>
      <c r="E205" s="2915"/>
      <c r="F205" s="3568"/>
      <c r="G205" s="3568"/>
      <c r="H205" s="3568"/>
      <c r="I205" s="3569"/>
      <c r="J205" s="3569"/>
      <c r="K205" s="3569"/>
      <c r="L205" s="3569"/>
      <c r="M205" s="3601">
        <f>+M206</f>
        <v>0</v>
      </c>
      <c r="N205" s="3601">
        <f t="shared" ref="N205:W205" si="182">+N206</f>
        <v>0</v>
      </c>
      <c r="O205" s="3601">
        <f t="shared" si="182"/>
        <v>0</v>
      </c>
      <c r="P205" s="3601">
        <f t="shared" si="182"/>
        <v>0</v>
      </c>
      <c r="Q205" s="3601">
        <f t="shared" si="182"/>
        <v>0</v>
      </c>
      <c r="R205" s="3601">
        <f t="shared" si="182"/>
        <v>0</v>
      </c>
      <c r="S205" s="3601">
        <f t="shared" si="182"/>
        <v>0</v>
      </c>
      <c r="T205" s="3601">
        <f t="shared" si="182"/>
        <v>0</v>
      </c>
      <c r="U205" s="3601">
        <f t="shared" si="182"/>
        <v>0</v>
      </c>
      <c r="V205" s="3601">
        <f t="shared" si="182"/>
        <v>0</v>
      </c>
      <c r="W205" s="3601">
        <f t="shared" si="182"/>
        <v>0</v>
      </c>
      <c r="X205" s="3602">
        <f>SUM(M205:W205)</f>
        <v>0</v>
      </c>
      <c r="Y205" s="3159"/>
      <c r="Z205" s="2411"/>
    </row>
    <row r="206" spans="1:26" s="2412" customFormat="1" ht="13.5" hidden="1" customHeight="1">
      <c r="A206" s="4371"/>
      <c r="B206" s="2431" t="s">
        <v>24</v>
      </c>
      <c r="C206" s="4485"/>
      <c r="D206" s="3570">
        <f>SUM(M206:W206)</f>
        <v>0</v>
      </c>
      <c r="E206" s="3571"/>
      <c r="F206" s="3572"/>
      <c r="G206" s="3572"/>
      <c r="H206" s="3572"/>
      <c r="I206" s="3573"/>
      <c r="J206" s="3573"/>
      <c r="K206" s="3573"/>
      <c r="L206" s="3573"/>
      <c r="M206" s="3574">
        <v>0</v>
      </c>
      <c r="N206" s="3571"/>
      <c r="O206" s="3570">
        <v>0</v>
      </c>
      <c r="P206" s="3570">
        <v>0</v>
      </c>
      <c r="Q206" s="3570">
        <v>0</v>
      </c>
      <c r="R206" s="3570">
        <v>0</v>
      </c>
      <c r="S206" s="3570">
        <v>0</v>
      </c>
      <c r="T206" s="3570">
        <v>0</v>
      </c>
      <c r="U206" s="3570">
        <v>0</v>
      </c>
      <c r="V206" s="3570">
        <v>0</v>
      </c>
      <c r="W206" s="3570"/>
      <c r="X206" s="3604">
        <f>SUM(M206:W206)</f>
        <v>0</v>
      </c>
      <c r="Y206" s="3159"/>
      <c r="Z206" s="2411"/>
    </row>
    <row r="207" spans="1:26" s="2412" customFormat="1" ht="13.5" customHeight="1">
      <c r="A207" s="4371"/>
      <c r="B207" s="1851" t="s">
        <v>30</v>
      </c>
      <c r="C207" s="4479" t="s">
        <v>214</v>
      </c>
      <c r="D207" s="3597">
        <f>SUM(M207:W207)</f>
        <v>1562200</v>
      </c>
      <c r="E207" s="3598"/>
      <c r="F207" s="3599"/>
      <c r="G207" s="3599"/>
      <c r="H207" s="3599"/>
      <c r="I207" s="3600"/>
      <c r="J207" s="3600"/>
      <c r="K207" s="3600"/>
      <c r="L207" s="3600"/>
      <c r="M207" s="3601">
        <f>+M208</f>
        <v>0</v>
      </c>
      <c r="N207" s="3601">
        <f t="shared" ref="N207:W207" si="183">+N208</f>
        <v>0</v>
      </c>
      <c r="O207" s="3601">
        <f t="shared" si="183"/>
        <v>0</v>
      </c>
      <c r="P207" s="3601">
        <f t="shared" si="183"/>
        <v>0</v>
      </c>
      <c r="Q207" s="3601">
        <f t="shared" si="183"/>
        <v>0</v>
      </c>
      <c r="R207" s="3601">
        <f t="shared" si="183"/>
        <v>312400</v>
      </c>
      <c r="S207" s="3601">
        <f t="shared" si="183"/>
        <v>624800</v>
      </c>
      <c r="T207" s="3601">
        <f t="shared" si="183"/>
        <v>625000</v>
      </c>
      <c r="U207" s="3601">
        <f t="shared" si="183"/>
        <v>0</v>
      </c>
      <c r="V207" s="3601">
        <f t="shared" si="183"/>
        <v>0</v>
      </c>
      <c r="W207" s="3601">
        <f t="shared" si="183"/>
        <v>0</v>
      </c>
      <c r="X207" s="3602">
        <f>SUM(M207:W207)</f>
        <v>1562200</v>
      </c>
      <c r="Y207" s="3159"/>
      <c r="Z207" s="2411"/>
    </row>
    <row r="208" spans="1:26" s="2412" customFormat="1" ht="13.5" customHeight="1">
      <c r="A208" s="4371"/>
      <c r="B208" s="2426" t="s">
        <v>33</v>
      </c>
      <c r="C208" s="4480"/>
      <c r="D208" s="3567">
        <f>SUM(M208:W208)</f>
        <v>1562200</v>
      </c>
      <c r="E208" s="2915"/>
      <c r="F208" s="3568"/>
      <c r="G208" s="3568"/>
      <c r="H208" s="3568"/>
      <c r="I208" s="3569"/>
      <c r="J208" s="3569"/>
      <c r="K208" s="3569"/>
      <c r="L208" s="3569"/>
      <c r="M208" s="2916">
        <f>+M209</f>
        <v>0</v>
      </c>
      <c r="N208" s="2916">
        <f t="shared" ref="N208:W208" si="184">+N209</f>
        <v>0</v>
      </c>
      <c r="O208" s="2916">
        <f t="shared" si="184"/>
        <v>0</v>
      </c>
      <c r="P208" s="2916">
        <f t="shared" si="184"/>
        <v>0</v>
      </c>
      <c r="Q208" s="2916">
        <f t="shared" si="184"/>
        <v>0</v>
      </c>
      <c r="R208" s="2916">
        <f t="shared" si="184"/>
        <v>312400</v>
      </c>
      <c r="S208" s="2916">
        <f t="shared" si="184"/>
        <v>624800</v>
      </c>
      <c r="T208" s="2916">
        <f t="shared" si="184"/>
        <v>625000</v>
      </c>
      <c r="U208" s="2916">
        <f t="shared" si="184"/>
        <v>0</v>
      </c>
      <c r="V208" s="2916">
        <f t="shared" si="184"/>
        <v>0</v>
      </c>
      <c r="W208" s="2916">
        <f t="shared" si="184"/>
        <v>0</v>
      </c>
      <c r="X208" s="3603">
        <f>SUM(M208:W208)</f>
        <v>1562200</v>
      </c>
      <c r="Y208" s="3159"/>
      <c r="Z208" s="2411"/>
    </row>
    <row r="209" spans="1:26" s="2412" customFormat="1" ht="22.5" hidden="1" customHeight="1">
      <c r="A209" s="4371"/>
      <c r="B209" s="3074" t="s">
        <v>560</v>
      </c>
      <c r="C209" s="4481"/>
      <c r="D209" s="3570">
        <f>SUM(M209:W209)</f>
        <v>1562200</v>
      </c>
      <c r="E209" s="3571"/>
      <c r="F209" s="3572"/>
      <c r="G209" s="3572"/>
      <c r="H209" s="3572"/>
      <c r="I209" s="3573"/>
      <c r="J209" s="3573"/>
      <c r="K209" s="3573"/>
      <c r="L209" s="3573"/>
      <c r="M209" s="3574">
        <v>0</v>
      </c>
      <c r="N209" s="3571"/>
      <c r="O209" s="3570">
        <v>0</v>
      </c>
      <c r="P209" s="3570">
        <v>0</v>
      </c>
      <c r="Q209" s="3570">
        <v>0</v>
      </c>
      <c r="R209" s="3570">
        <v>312400</v>
      </c>
      <c r="S209" s="3570">
        <v>624800</v>
      </c>
      <c r="T209" s="3570">
        <v>625000</v>
      </c>
      <c r="U209" s="3570">
        <v>0</v>
      </c>
      <c r="V209" s="3570">
        <v>0</v>
      </c>
      <c r="W209" s="3570">
        <v>0</v>
      </c>
      <c r="X209" s="3604">
        <f>SUM(M209:W209)</f>
        <v>1562200</v>
      </c>
      <c r="Y209" s="3159"/>
      <c r="Z209" s="2411"/>
    </row>
    <row r="210" spans="1:26" s="2412" customFormat="1" ht="13.5" customHeight="1">
      <c r="A210" s="4371"/>
      <c r="B210" s="1868" t="s">
        <v>557</v>
      </c>
      <c r="C210" s="2253"/>
      <c r="D210" s="2414">
        <f>+D211</f>
        <v>1562200</v>
      </c>
      <c r="E210" s="2414">
        <f t="shared" ref="E210:W210" si="185">+E211</f>
        <v>0</v>
      </c>
      <c r="F210" s="2414">
        <f t="shared" si="185"/>
        <v>0</v>
      </c>
      <c r="G210" s="2414">
        <f t="shared" si="185"/>
        <v>0</v>
      </c>
      <c r="H210" s="2414">
        <f t="shared" si="185"/>
        <v>0</v>
      </c>
      <c r="I210" s="2414">
        <f t="shared" si="185"/>
        <v>0</v>
      </c>
      <c r="J210" s="2414">
        <f t="shared" si="185"/>
        <v>0</v>
      </c>
      <c r="K210" s="2414">
        <f t="shared" si="185"/>
        <v>0</v>
      </c>
      <c r="L210" s="2414">
        <f t="shared" si="185"/>
        <v>0</v>
      </c>
      <c r="M210" s="2414">
        <f t="shared" si="185"/>
        <v>0</v>
      </c>
      <c r="N210" s="2414">
        <f t="shared" si="185"/>
        <v>0</v>
      </c>
      <c r="O210" s="2414">
        <f t="shared" si="185"/>
        <v>0</v>
      </c>
      <c r="P210" s="2414">
        <f t="shared" si="185"/>
        <v>0</v>
      </c>
      <c r="Q210" s="2414">
        <f t="shared" si="185"/>
        <v>0</v>
      </c>
      <c r="R210" s="2414">
        <f t="shared" si="185"/>
        <v>312400</v>
      </c>
      <c r="S210" s="2414">
        <f t="shared" si="185"/>
        <v>624800</v>
      </c>
      <c r="T210" s="2414">
        <f t="shared" si="185"/>
        <v>625000</v>
      </c>
      <c r="U210" s="2414">
        <f t="shared" si="185"/>
        <v>0</v>
      </c>
      <c r="V210" s="2414">
        <f t="shared" si="185"/>
        <v>0</v>
      </c>
      <c r="W210" s="2414">
        <f t="shared" si="185"/>
        <v>0</v>
      </c>
      <c r="X210" s="4424" t="s">
        <v>77</v>
      </c>
      <c r="Y210" s="3159"/>
      <c r="Z210" s="2411"/>
    </row>
    <row r="211" spans="1:26" s="2412" customFormat="1" ht="13.5" customHeight="1">
      <c r="A211" s="4371"/>
      <c r="B211" s="1851" t="s">
        <v>30</v>
      </c>
      <c r="C211" s="4479" t="s">
        <v>471</v>
      </c>
      <c r="D211" s="3597">
        <f>SUM(M211:W211)</f>
        <v>1562200</v>
      </c>
      <c r="E211" s="3598"/>
      <c r="F211" s="3599"/>
      <c r="G211" s="3599"/>
      <c r="H211" s="3599"/>
      <c r="I211" s="3600"/>
      <c r="J211" s="3600"/>
      <c r="K211" s="3600"/>
      <c r="L211" s="3600"/>
      <c r="M211" s="3617">
        <f>+M212</f>
        <v>0</v>
      </c>
      <c r="N211" s="3617">
        <f t="shared" ref="N211:W212" si="186">+N212</f>
        <v>0</v>
      </c>
      <c r="O211" s="3617">
        <f t="shared" si="186"/>
        <v>0</v>
      </c>
      <c r="P211" s="3617">
        <f t="shared" si="186"/>
        <v>0</v>
      </c>
      <c r="Q211" s="3617">
        <f t="shared" si="186"/>
        <v>0</v>
      </c>
      <c r="R211" s="3617">
        <f t="shared" si="186"/>
        <v>312400</v>
      </c>
      <c r="S211" s="3617">
        <f t="shared" si="186"/>
        <v>624800</v>
      </c>
      <c r="T211" s="3617">
        <f t="shared" si="186"/>
        <v>625000</v>
      </c>
      <c r="U211" s="3617">
        <f t="shared" si="186"/>
        <v>0</v>
      </c>
      <c r="V211" s="3617">
        <f t="shared" si="186"/>
        <v>0</v>
      </c>
      <c r="W211" s="3617">
        <f t="shared" si="186"/>
        <v>0</v>
      </c>
      <c r="X211" s="4379"/>
      <c r="Y211" s="3159"/>
      <c r="Z211" s="2411"/>
    </row>
    <row r="212" spans="1:26" s="2412" customFormat="1" ht="13.5" customHeight="1" thickBot="1">
      <c r="A212" s="4430"/>
      <c r="B212" s="3134" t="s">
        <v>33</v>
      </c>
      <c r="C212" s="4490"/>
      <c r="D212" s="3688">
        <f>SUM(M212:W212)</f>
        <v>1562200</v>
      </c>
      <c r="E212" s="1829"/>
      <c r="F212" s="2262"/>
      <c r="G212" s="2262"/>
      <c r="H212" s="2262"/>
      <c r="I212" s="2263"/>
      <c r="J212" s="2263"/>
      <c r="K212" s="2263"/>
      <c r="L212" s="2263"/>
      <c r="M212" s="2265">
        <f>+M213</f>
        <v>0</v>
      </c>
      <c r="N212" s="2265">
        <f t="shared" si="186"/>
        <v>0</v>
      </c>
      <c r="O212" s="2265">
        <f t="shared" si="186"/>
        <v>0</v>
      </c>
      <c r="P212" s="2265">
        <f t="shared" si="186"/>
        <v>0</v>
      </c>
      <c r="Q212" s="2265">
        <f t="shared" si="186"/>
        <v>0</v>
      </c>
      <c r="R212" s="2265">
        <f t="shared" si="186"/>
        <v>312400</v>
      </c>
      <c r="S212" s="2265">
        <f t="shared" si="186"/>
        <v>624800</v>
      </c>
      <c r="T212" s="2265">
        <f t="shared" si="186"/>
        <v>625000</v>
      </c>
      <c r="U212" s="2265">
        <f t="shared" si="186"/>
        <v>0</v>
      </c>
      <c r="V212" s="2265">
        <f t="shared" si="186"/>
        <v>0</v>
      </c>
      <c r="W212" s="2265">
        <f t="shared" si="186"/>
        <v>0</v>
      </c>
      <c r="X212" s="4380"/>
      <c r="Y212" s="3679"/>
      <c r="Z212" s="2411">
        <f>+D208+D219</f>
        <v>44852200</v>
      </c>
    </row>
    <row r="213" spans="1:26" s="2317" customFormat="1" ht="12" hidden="1" customHeight="1" thickBot="1">
      <c r="A213" s="3576"/>
      <c r="B213" s="3671" t="s">
        <v>554</v>
      </c>
      <c r="C213" s="3686"/>
      <c r="D213" s="3672">
        <f>SUM(M213:W213)</f>
        <v>1562200</v>
      </c>
      <c r="E213" s="3673"/>
      <c r="F213" s="3674"/>
      <c r="G213" s="3674"/>
      <c r="H213" s="3674"/>
      <c r="I213" s="3675"/>
      <c r="J213" s="3675"/>
      <c r="K213" s="3675"/>
      <c r="L213" s="3675"/>
      <c r="M213" s="3676"/>
      <c r="N213" s="3673"/>
      <c r="O213" s="3677"/>
      <c r="P213" s="3677"/>
      <c r="Q213" s="3672">
        <v>0</v>
      </c>
      <c r="R213" s="3672">
        <v>312400</v>
      </c>
      <c r="S213" s="3672">
        <v>624800</v>
      </c>
      <c r="T213" s="3672">
        <v>625000</v>
      </c>
      <c r="U213" s="3678"/>
      <c r="V213" s="3678"/>
      <c r="W213" s="3677"/>
      <c r="X213" s="3687"/>
      <c r="Y213" s="3679"/>
      <c r="Z213" s="2318"/>
    </row>
    <row r="214" spans="1:26" s="2266" customFormat="1" ht="16.5" customHeight="1">
      <c r="A214" s="4350" t="s">
        <v>617</v>
      </c>
      <c r="B214" s="2345" t="s">
        <v>563</v>
      </c>
      <c r="C214" s="2183" t="s">
        <v>98</v>
      </c>
      <c r="D214" s="3609"/>
      <c r="E214" s="3610"/>
      <c r="F214" s="3611"/>
      <c r="G214" s="3611"/>
      <c r="H214" s="3612"/>
      <c r="I214" s="3613"/>
      <c r="J214" s="3614"/>
      <c r="K214" s="3613"/>
      <c r="L214" s="3613"/>
      <c r="M214" s="3615"/>
      <c r="N214" s="3615"/>
      <c r="O214" s="3615"/>
      <c r="P214" s="3610"/>
      <c r="Q214" s="3610"/>
      <c r="R214" s="3610"/>
      <c r="S214" s="3610"/>
      <c r="T214" s="3610"/>
      <c r="U214" s="3610"/>
      <c r="V214" s="3610"/>
      <c r="W214" s="3616"/>
      <c r="X214" s="3161"/>
      <c r="Y214" s="3159"/>
      <c r="Z214" s="2004"/>
    </row>
    <row r="215" spans="1:26" s="2266" customFormat="1" ht="13.5" customHeight="1">
      <c r="A215" s="4350"/>
      <c r="B215" s="524" t="s">
        <v>22</v>
      </c>
      <c r="C215" s="2344"/>
      <c r="D215" s="2320">
        <f t="shared" ref="D215:X215" si="187">+D216+D219</f>
        <v>53120900</v>
      </c>
      <c r="E215" s="2320">
        <f t="shared" si="187"/>
        <v>0</v>
      </c>
      <c r="F215" s="2320">
        <f t="shared" si="187"/>
        <v>0</v>
      </c>
      <c r="G215" s="2320">
        <f t="shared" si="187"/>
        <v>0</v>
      </c>
      <c r="H215" s="2320">
        <f t="shared" si="187"/>
        <v>0</v>
      </c>
      <c r="I215" s="2320">
        <f t="shared" si="187"/>
        <v>0</v>
      </c>
      <c r="J215" s="2320">
        <f t="shared" si="187"/>
        <v>0</v>
      </c>
      <c r="K215" s="2320">
        <f t="shared" si="187"/>
        <v>0</v>
      </c>
      <c r="L215" s="2320">
        <f t="shared" si="187"/>
        <v>0</v>
      </c>
      <c r="M215" s="2320">
        <f t="shared" si="187"/>
        <v>0</v>
      </c>
      <c r="N215" s="2320">
        <f t="shared" si="187"/>
        <v>0</v>
      </c>
      <c r="O215" s="2320">
        <f t="shared" si="187"/>
        <v>0</v>
      </c>
      <c r="P215" s="2320">
        <f t="shared" si="187"/>
        <v>0</v>
      </c>
      <c r="Q215" s="2320">
        <f t="shared" si="187"/>
        <v>0</v>
      </c>
      <c r="R215" s="2320">
        <f t="shared" si="187"/>
        <v>4796400</v>
      </c>
      <c r="S215" s="2320">
        <f t="shared" si="187"/>
        <v>33993800</v>
      </c>
      <c r="T215" s="2320">
        <f t="shared" si="187"/>
        <v>14330700</v>
      </c>
      <c r="U215" s="2320">
        <f t="shared" si="187"/>
        <v>0</v>
      </c>
      <c r="V215" s="2320">
        <f t="shared" si="187"/>
        <v>0</v>
      </c>
      <c r="W215" s="2320">
        <f t="shared" si="187"/>
        <v>0</v>
      </c>
      <c r="X215" s="2158">
        <f t="shared" si="187"/>
        <v>53120900</v>
      </c>
      <c r="Y215" s="3159"/>
      <c r="Z215" s="2004"/>
    </row>
    <row r="216" spans="1:26" s="2412" customFormat="1" ht="13.5" customHeight="1">
      <c r="A216" s="4350"/>
      <c r="B216" s="2430" t="s">
        <v>36</v>
      </c>
      <c r="C216" s="4474" t="s">
        <v>566</v>
      </c>
      <c r="D216" s="2415">
        <f>SUM(M216:W216)</f>
        <v>9830900</v>
      </c>
      <c r="E216" s="2416"/>
      <c r="F216" s="2417"/>
      <c r="G216" s="2417"/>
      <c r="H216" s="2417"/>
      <c r="I216" s="2418"/>
      <c r="J216" s="2418"/>
      <c r="K216" s="2418"/>
      <c r="L216" s="2418"/>
      <c r="M216" s="2247">
        <f>+M217+M218</f>
        <v>0</v>
      </c>
      <c r="N216" s="2247">
        <f t="shared" ref="N216:W216" si="188">+N217+N218</f>
        <v>0</v>
      </c>
      <c r="O216" s="2247">
        <f t="shared" si="188"/>
        <v>0</v>
      </c>
      <c r="P216" s="2247">
        <f t="shared" si="188"/>
        <v>0</v>
      </c>
      <c r="Q216" s="2247">
        <f>+Q217+Q218</f>
        <v>0</v>
      </c>
      <c r="R216" s="2247">
        <f t="shared" ref="R216:S216" si="189">+R217+R218</f>
        <v>2468400</v>
      </c>
      <c r="S216" s="2247">
        <f t="shared" si="189"/>
        <v>5142800</v>
      </c>
      <c r="T216" s="2247">
        <f t="shared" si="188"/>
        <v>2219700</v>
      </c>
      <c r="U216" s="2247">
        <f t="shared" si="188"/>
        <v>0</v>
      </c>
      <c r="V216" s="2247">
        <f t="shared" si="188"/>
        <v>0</v>
      </c>
      <c r="W216" s="2247">
        <f t="shared" si="188"/>
        <v>0</v>
      </c>
      <c r="X216" s="3071">
        <f>SUM(M216:W216)</f>
        <v>9830900</v>
      </c>
      <c r="Y216" s="3159"/>
      <c r="Z216" s="2411"/>
    </row>
    <row r="217" spans="1:26" s="2412" customFormat="1" ht="13.5" customHeight="1">
      <c r="A217" s="4350"/>
      <c r="B217" s="2419" t="s">
        <v>24</v>
      </c>
      <c r="C217" s="4475"/>
      <c r="D217" s="2764">
        <f>SUM(M217:W217)</f>
        <v>4830900</v>
      </c>
      <c r="E217" s="2244"/>
      <c r="F217" s="2252"/>
      <c r="G217" s="2252"/>
      <c r="H217" s="2252"/>
      <c r="I217" s="2243"/>
      <c r="J217" s="2243"/>
      <c r="K217" s="2243"/>
      <c r="L217" s="2243"/>
      <c r="M217" s="3023"/>
      <c r="N217" s="2244"/>
      <c r="O217" s="2764"/>
      <c r="P217" s="2764"/>
      <c r="Q217" s="2764">
        <v>0</v>
      </c>
      <c r="R217" s="2764">
        <v>2191100</v>
      </c>
      <c r="S217" s="2764">
        <v>1814600</v>
      </c>
      <c r="T217" s="2764">
        <v>825200</v>
      </c>
      <c r="U217" s="2764"/>
      <c r="V217" s="2764"/>
      <c r="W217" s="2764"/>
      <c r="X217" s="3072">
        <f>SUM(M217:W217)</f>
        <v>4830900</v>
      </c>
      <c r="Y217" s="3159"/>
      <c r="Z217" s="2411"/>
    </row>
    <row r="218" spans="1:26" s="2412" customFormat="1" ht="13.5" customHeight="1">
      <c r="A218" s="4350"/>
      <c r="B218" s="2419" t="s">
        <v>28</v>
      </c>
      <c r="C218" s="4475"/>
      <c r="D218" s="2764">
        <f>SUM(M218:W218)</f>
        <v>5000000</v>
      </c>
      <c r="E218" s="2244"/>
      <c r="F218" s="2252"/>
      <c r="G218" s="2252"/>
      <c r="H218" s="2252"/>
      <c r="I218" s="2243"/>
      <c r="J218" s="2243"/>
      <c r="K218" s="2243"/>
      <c r="L218" s="2243"/>
      <c r="M218" s="3023"/>
      <c r="N218" s="2244"/>
      <c r="O218" s="2764"/>
      <c r="P218" s="2764"/>
      <c r="Q218" s="2764">
        <v>0</v>
      </c>
      <c r="R218" s="2764">
        <v>277300</v>
      </c>
      <c r="S218" s="2764">
        <v>3328200</v>
      </c>
      <c r="T218" s="2764">
        <v>1394500</v>
      </c>
      <c r="U218" s="2764"/>
      <c r="V218" s="2764"/>
      <c r="W218" s="2764"/>
      <c r="X218" s="3072">
        <f>SUM(M218:W218)</f>
        <v>5000000</v>
      </c>
      <c r="Y218" s="3159"/>
      <c r="Z218" s="2411"/>
    </row>
    <row r="219" spans="1:26" s="2412" customFormat="1" ht="15.75" customHeight="1">
      <c r="A219" s="4350"/>
      <c r="B219" s="3158" t="s">
        <v>30</v>
      </c>
      <c r="C219" s="4475"/>
      <c r="D219" s="2415">
        <f>SUM(M219:W219)</f>
        <v>43290000</v>
      </c>
      <c r="E219" s="2415">
        <f t="shared" ref="E219:W219" si="190">+E220</f>
        <v>0</v>
      </c>
      <c r="F219" s="2415">
        <f t="shared" si="190"/>
        <v>0</v>
      </c>
      <c r="G219" s="2415">
        <f t="shared" si="190"/>
        <v>0</v>
      </c>
      <c r="H219" s="2415">
        <f t="shared" si="190"/>
        <v>0</v>
      </c>
      <c r="I219" s="2415">
        <f t="shared" si="190"/>
        <v>0</v>
      </c>
      <c r="J219" s="2415">
        <f t="shared" si="190"/>
        <v>0</v>
      </c>
      <c r="K219" s="2415">
        <f t="shared" si="190"/>
        <v>0</v>
      </c>
      <c r="L219" s="2415">
        <f t="shared" si="190"/>
        <v>0</v>
      </c>
      <c r="M219" s="2415">
        <f t="shared" si="190"/>
        <v>0</v>
      </c>
      <c r="N219" s="2415">
        <f t="shared" si="190"/>
        <v>0</v>
      </c>
      <c r="O219" s="2415">
        <f t="shared" si="190"/>
        <v>0</v>
      </c>
      <c r="P219" s="2415">
        <f t="shared" si="190"/>
        <v>0</v>
      </c>
      <c r="Q219" s="2415">
        <f t="shared" si="190"/>
        <v>0</v>
      </c>
      <c r="R219" s="2415">
        <f t="shared" si="190"/>
        <v>2328000</v>
      </c>
      <c r="S219" s="2415">
        <f t="shared" si="190"/>
        <v>28851000</v>
      </c>
      <c r="T219" s="2415">
        <f t="shared" si="190"/>
        <v>12111000</v>
      </c>
      <c r="U219" s="2415">
        <f t="shared" si="190"/>
        <v>0</v>
      </c>
      <c r="V219" s="2415">
        <f t="shared" si="190"/>
        <v>0</v>
      </c>
      <c r="W219" s="2415">
        <f t="shared" si="190"/>
        <v>0</v>
      </c>
      <c r="X219" s="2451">
        <f>SUM(M219:W219)</f>
        <v>43290000</v>
      </c>
      <c r="Y219" s="3159"/>
      <c r="Z219" s="2411"/>
    </row>
    <row r="220" spans="1:26" s="2412" customFormat="1" ht="12" customHeight="1">
      <c r="A220" s="4350"/>
      <c r="B220" s="3073" t="s">
        <v>33</v>
      </c>
      <c r="C220" s="4475"/>
      <c r="D220" s="2764">
        <f>+D221+D222</f>
        <v>43290000</v>
      </c>
      <c r="E220" s="2764">
        <f t="shared" ref="E220:W220" si="191">+E221+E222</f>
        <v>0</v>
      </c>
      <c r="F220" s="2764">
        <f t="shared" si="191"/>
        <v>0</v>
      </c>
      <c r="G220" s="2764">
        <f t="shared" si="191"/>
        <v>0</v>
      </c>
      <c r="H220" s="2764">
        <f t="shared" si="191"/>
        <v>0</v>
      </c>
      <c r="I220" s="2764">
        <f t="shared" si="191"/>
        <v>0</v>
      </c>
      <c r="J220" s="2764">
        <f t="shared" si="191"/>
        <v>0</v>
      </c>
      <c r="K220" s="2764">
        <f t="shared" si="191"/>
        <v>0</v>
      </c>
      <c r="L220" s="2764">
        <f t="shared" si="191"/>
        <v>0</v>
      </c>
      <c r="M220" s="2764">
        <f t="shared" si="191"/>
        <v>0</v>
      </c>
      <c r="N220" s="2764">
        <f t="shared" si="191"/>
        <v>0</v>
      </c>
      <c r="O220" s="2764">
        <f t="shared" si="191"/>
        <v>0</v>
      </c>
      <c r="P220" s="2764">
        <f t="shared" si="191"/>
        <v>0</v>
      </c>
      <c r="Q220" s="2764">
        <f t="shared" si="191"/>
        <v>0</v>
      </c>
      <c r="R220" s="2764">
        <f t="shared" si="191"/>
        <v>2328000</v>
      </c>
      <c r="S220" s="2764">
        <f t="shared" si="191"/>
        <v>28851000</v>
      </c>
      <c r="T220" s="2764">
        <f t="shared" si="191"/>
        <v>12111000</v>
      </c>
      <c r="U220" s="2764">
        <f t="shared" si="191"/>
        <v>0</v>
      </c>
      <c r="V220" s="2764">
        <f t="shared" si="191"/>
        <v>0</v>
      </c>
      <c r="W220" s="2764">
        <f t="shared" si="191"/>
        <v>0</v>
      </c>
      <c r="X220" s="3072">
        <f>+X221+X222</f>
        <v>43290000</v>
      </c>
      <c r="Y220" s="3159"/>
      <c r="Z220" s="2411"/>
    </row>
    <row r="221" spans="1:26" s="2412" customFormat="1" ht="22.5" hidden="1" customHeight="1">
      <c r="A221" s="4350"/>
      <c r="B221" s="3058" t="s">
        <v>564</v>
      </c>
      <c r="C221" s="4475"/>
      <c r="D221" s="2420">
        <f t="shared" ref="D221:D222" si="192">+M221+O221+P221+Q221+R221+S221+T221+U221+V221+W221</f>
        <v>1426000</v>
      </c>
      <c r="E221" s="2421"/>
      <c r="F221" s="2422"/>
      <c r="G221" s="2422"/>
      <c r="H221" s="2422"/>
      <c r="I221" s="2423"/>
      <c r="J221" s="2423"/>
      <c r="K221" s="2423"/>
      <c r="L221" s="2423"/>
      <c r="M221" s="2424">
        <v>0</v>
      </c>
      <c r="N221" s="2421"/>
      <c r="O221" s="2420">
        <v>0</v>
      </c>
      <c r="P221" s="2420">
        <v>0</v>
      </c>
      <c r="Q221" s="2420">
        <v>0</v>
      </c>
      <c r="R221" s="2420">
        <v>0</v>
      </c>
      <c r="S221" s="2420">
        <v>915000</v>
      </c>
      <c r="T221" s="2420">
        <v>511000</v>
      </c>
      <c r="U221" s="2420">
        <v>0</v>
      </c>
      <c r="V221" s="2420">
        <v>0</v>
      </c>
      <c r="W221" s="2420">
        <v>0</v>
      </c>
      <c r="X221" s="2425">
        <f>SUM(M221:W221)</f>
        <v>1426000</v>
      </c>
      <c r="Y221" s="3159"/>
      <c r="Z221" s="2411"/>
    </row>
    <row r="222" spans="1:26" s="2412" customFormat="1" ht="23.25" hidden="1" customHeight="1">
      <c r="A222" s="4350"/>
      <c r="B222" s="3059" t="s">
        <v>556</v>
      </c>
      <c r="C222" s="4476"/>
      <c r="D222" s="2420">
        <f t="shared" si="192"/>
        <v>41864000</v>
      </c>
      <c r="E222" s="3067"/>
      <c r="F222" s="3068"/>
      <c r="G222" s="3068"/>
      <c r="H222" s="3068"/>
      <c r="I222" s="3069"/>
      <c r="J222" s="3069"/>
      <c r="K222" s="3069"/>
      <c r="L222" s="3069"/>
      <c r="M222" s="3070">
        <v>0</v>
      </c>
      <c r="N222" s="3067"/>
      <c r="O222" s="2785">
        <v>0</v>
      </c>
      <c r="P222" s="2785">
        <v>0</v>
      </c>
      <c r="Q222" s="2785">
        <v>0</v>
      </c>
      <c r="R222" s="2785">
        <v>2328000</v>
      </c>
      <c r="S222" s="2785">
        <v>27936000</v>
      </c>
      <c r="T222" s="2785">
        <v>11600000</v>
      </c>
      <c r="U222" s="2785">
        <v>0</v>
      </c>
      <c r="V222" s="2785">
        <v>0</v>
      </c>
      <c r="W222" s="2785">
        <v>0</v>
      </c>
      <c r="X222" s="2425">
        <f>SUM(M222:W222)</f>
        <v>41864000</v>
      </c>
      <c r="Y222" s="3159"/>
      <c r="Z222" s="2411"/>
    </row>
    <row r="223" spans="1:26" s="2412" customFormat="1" ht="13.5" customHeight="1">
      <c r="A223" s="4350"/>
      <c r="B223" s="1822" t="s">
        <v>557</v>
      </c>
      <c r="C223" s="1856"/>
      <c r="D223" s="2433">
        <f t="shared" ref="D223:W223" si="193">+D224+D226</f>
        <v>48290000</v>
      </c>
      <c r="E223" s="2433" t="e">
        <f t="shared" si="193"/>
        <v>#REF!</v>
      </c>
      <c r="F223" s="2433" t="e">
        <f t="shared" si="193"/>
        <v>#REF!</v>
      </c>
      <c r="G223" s="2433" t="e">
        <f t="shared" si="193"/>
        <v>#REF!</v>
      </c>
      <c r="H223" s="2433" t="e">
        <f t="shared" si="193"/>
        <v>#REF!</v>
      </c>
      <c r="I223" s="2433" t="e">
        <f t="shared" si="193"/>
        <v>#REF!</v>
      </c>
      <c r="J223" s="2433" t="e">
        <f t="shared" si="193"/>
        <v>#REF!</v>
      </c>
      <c r="K223" s="2433" t="e">
        <f t="shared" si="193"/>
        <v>#REF!</v>
      </c>
      <c r="L223" s="2433" t="e">
        <f t="shared" si="193"/>
        <v>#REF!</v>
      </c>
      <c r="M223" s="2433">
        <f t="shared" si="193"/>
        <v>0</v>
      </c>
      <c r="N223" s="2433">
        <f t="shared" si="193"/>
        <v>0</v>
      </c>
      <c r="O223" s="2433">
        <f t="shared" si="193"/>
        <v>0</v>
      </c>
      <c r="P223" s="2433">
        <f t="shared" si="193"/>
        <v>0</v>
      </c>
      <c r="Q223" s="2433">
        <f t="shared" si="193"/>
        <v>0</v>
      </c>
      <c r="R223" s="2433">
        <f t="shared" si="193"/>
        <v>2605300</v>
      </c>
      <c r="S223" s="2433">
        <f t="shared" si="193"/>
        <v>32179200</v>
      </c>
      <c r="T223" s="2433">
        <f t="shared" si="193"/>
        <v>13505500</v>
      </c>
      <c r="U223" s="2433">
        <f t="shared" si="193"/>
        <v>0</v>
      </c>
      <c r="V223" s="2433">
        <f t="shared" si="193"/>
        <v>0</v>
      </c>
      <c r="W223" s="2433">
        <f t="shared" si="193"/>
        <v>0</v>
      </c>
      <c r="X223" s="4419" t="s">
        <v>77</v>
      </c>
      <c r="Y223" s="3159"/>
      <c r="Z223" s="2411"/>
    </row>
    <row r="224" spans="1:26" s="2412" customFormat="1" ht="13.5" customHeight="1">
      <c r="A224" s="4350"/>
      <c r="B224" s="2430" t="s">
        <v>36</v>
      </c>
      <c r="C224" s="4482" t="s">
        <v>591</v>
      </c>
      <c r="D224" s="2415">
        <f>+D225</f>
        <v>5000000</v>
      </c>
      <c r="E224" s="2415" t="e">
        <f>+E225+#REF!</f>
        <v>#REF!</v>
      </c>
      <c r="F224" s="2415" t="e">
        <f>+F225+#REF!</f>
        <v>#REF!</v>
      </c>
      <c r="G224" s="2415" t="e">
        <f>+G225+#REF!</f>
        <v>#REF!</v>
      </c>
      <c r="H224" s="2415" t="e">
        <f>+H225+#REF!</f>
        <v>#REF!</v>
      </c>
      <c r="I224" s="2415" t="e">
        <f>+I225+#REF!</f>
        <v>#REF!</v>
      </c>
      <c r="J224" s="2415" t="e">
        <f>+J225+#REF!</f>
        <v>#REF!</v>
      </c>
      <c r="K224" s="2415" t="e">
        <f>+K225+#REF!</f>
        <v>#REF!</v>
      </c>
      <c r="L224" s="2415" t="e">
        <f>+L225+#REF!</f>
        <v>#REF!</v>
      </c>
      <c r="M224" s="2415">
        <f>+M225</f>
        <v>0</v>
      </c>
      <c r="N224" s="2415">
        <f t="shared" ref="N224:W224" si="194">+N225</f>
        <v>0</v>
      </c>
      <c r="O224" s="2415">
        <f t="shared" si="194"/>
        <v>0</v>
      </c>
      <c r="P224" s="2415">
        <f t="shared" si="194"/>
        <v>0</v>
      </c>
      <c r="Q224" s="2415">
        <f t="shared" si="194"/>
        <v>0</v>
      </c>
      <c r="R224" s="2415">
        <f t="shared" si="194"/>
        <v>277300</v>
      </c>
      <c r="S224" s="2415">
        <f t="shared" si="194"/>
        <v>3328200</v>
      </c>
      <c r="T224" s="2415">
        <f t="shared" si="194"/>
        <v>1394500</v>
      </c>
      <c r="U224" s="2415">
        <f t="shared" si="194"/>
        <v>0</v>
      </c>
      <c r="V224" s="2415">
        <f t="shared" si="194"/>
        <v>0</v>
      </c>
      <c r="W224" s="2415">
        <f t="shared" si="194"/>
        <v>0</v>
      </c>
      <c r="X224" s="4379"/>
      <c r="Y224" s="3159"/>
      <c r="Z224" s="2411"/>
    </row>
    <row r="225" spans="1:26" s="2412" customFormat="1" ht="16.5" customHeight="1">
      <c r="A225" s="4350"/>
      <c r="B225" s="2419" t="s">
        <v>28</v>
      </c>
      <c r="C225" s="4488"/>
      <c r="D225" s="2764">
        <f t="shared" ref="D225:D229" si="195">SUM(M225:W225)</f>
        <v>5000000</v>
      </c>
      <c r="E225" s="2244"/>
      <c r="F225" s="2252"/>
      <c r="G225" s="2252"/>
      <c r="H225" s="2252"/>
      <c r="I225" s="2243"/>
      <c r="J225" s="2243"/>
      <c r="K225" s="2243"/>
      <c r="L225" s="2243"/>
      <c r="M225" s="3023"/>
      <c r="N225" s="2244"/>
      <c r="O225" s="2764"/>
      <c r="P225" s="2764"/>
      <c r="Q225" s="2764">
        <v>0</v>
      </c>
      <c r="R225" s="2764">
        <v>277300</v>
      </c>
      <c r="S225" s="2764">
        <v>3328200</v>
      </c>
      <c r="T225" s="2764">
        <v>1394500</v>
      </c>
      <c r="U225" s="2764"/>
      <c r="V225" s="2764"/>
      <c r="W225" s="2764"/>
      <c r="X225" s="4379"/>
      <c r="Y225" s="3159"/>
      <c r="Z225" s="2411"/>
    </row>
    <row r="226" spans="1:26" s="2412" customFormat="1" ht="15" customHeight="1" thickBot="1">
      <c r="A226" s="4350"/>
      <c r="B226" s="1851" t="s">
        <v>30</v>
      </c>
      <c r="C226" s="4488"/>
      <c r="D226" s="2415">
        <f>SUM(M226:W226)</f>
        <v>43290000</v>
      </c>
      <c r="E226" s="2415">
        <f t="shared" ref="E226:W226" si="196">+E227</f>
        <v>0</v>
      </c>
      <c r="F226" s="2415">
        <f t="shared" si="196"/>
        <v>0</v>
      </c>
      <c r="G226" s="2415">
        <f t="shared" si="196"/>
        <v>0</v>
      </c>
      <c r="H226" s="2415">
        <f t="shared" si="196"/>
        <v>0</v>
      </c>
      <c r="I226" s="2415">
        <f t="shared" si="196"/>
        <v>0</v>
      </c>
      <c r="J226" s="2415">
        <f t="shared" si="196"/>
        <v>0</v>
      </c>
      <c r="K226" s="2415">
        <f t="shared" si="196"/>
        <v>0</v>
      </c>
      <c r="L226" s="2415">
        <f t="shared" si="196"/>
        <v>0</v>
      </c>
      <c r="M226" s="2415">
        <f t="shared" si="196"/>
        <v>0</v>
      </c>
      <c r="N226" s="2415">
        <f t="shared" si="196"/>
        <v>0</v>
      </c>
      <c r="O226" s="2415">
        <f t="shared" si="196"/>
        <v>0</v>
      </c>
      <c r="P226" s="2415">
        <f t="shared" si="196"/>
        <v>0</v>
      </c>
      <c r="Q226" s="2415">
        <f t="shared" si="196"/>
        <v>0</v>
      </c>
      <c r="R226" s="2415">
        <f t="shared" si="196"/>
        <v>2328000</v>
      </c>
      <c r="S226" s="2415">
        <f t="shared" si="196"/>
        <v>28851000</v>
      </c>
      <c r="T226" s="2415">
        <f t="shared" si="196"/>
        <v>12111000</v>
      </c>
      <c r="U226" s="2415">
        <f t="shared" si="196"/>
        <v>0</v>
      </c>
      <c r="V226" s="2415">
        <f t="shared" si="196"/>
        <v>0</v>
      </c>
      <c r="W226" s="2415">
        <f t="shared" si="196"/>
        <v>0</v>
      </c>
      <c r="X226" s="4379"/>
      <c r="Y226" s="3159"/>
      <c r="Z226" s="2411"/>
    </row>
    <row r="227" spans="1:26" s="2412" customFormat="1" ht="25.5" hidden="1" customHeight="1" thickBot="1">
      <c r="A227" s="2408"/>
      <c r="B227" s="3073" t="s">
        <v>33</v>
      </c>
      <c r="C227" s="4489"/>
      <c r="D227" s="2764">
        <f t="shared" si="195"/>
        <v>43290000</v>
      </c>
      <c r="E227" s="2764">
        <f t="shared" ref="E227:W227" si="197">+E228+E229</f>
        <v>0</v>
      </c>
      <c r="F227" s="2764">
        <f t="shared" si="197"/>
        <v>0</v>
      </c>
      <c r="G227" s="2764">
        <f t="shared" si="197"/>
        <v>0</v>
      </c>
      <c r="H227" s="2764">
        <f t="shared" si="197"/>
        <v>0</v>
      </c>
      <c r="I227" s="2764">
        <f t="shared" si="197"/>
        <v>0</v>
      </c>
      <c r="J227" s="2764">
        <f t="shared" si="197"/>
        <v>0</v>
      </c>
      <c r="K227" s="2764">
        <f t="shared" si="197"/>
        <v>0</v>
      </c>
      <c r="L227" s="2764">
        <f t="shared" si="197"/>
        <v>0</v>
      </c>
      <c r="M227" s="2764">
        <f t="shared" si="197"/>
        <v>0</v>
      </c>
      <c r="N227" s="2764">
        <f t="shared" si="197"/>
        <v>0</v>
      </c>
      <c r="O227" s="2764">
        <f t="shared" si="197"/>
        <v>0</v>
      </c>
      <c r="P227" s="2764">
        <f t="shared" si="197"/>
        <v>0</v>
      </c>
      <c r="Q227" s="2764">
        <f t="shared" si="197"/>
        <v>0</v>
      </c>
      <c r="R227" s="2764">
        <f t="shared" si="197"/>
        <v>2328000</v>
      </c>
      <c r="S227" s="2764">
        <f t="shared" si="197"/>
        <v>28851000</v>
      </c>
      <c r="T227" s="2764">
        <f t="shared" si="197"/>
        <v>12111000</v>
      </c>
      <c r="U227" s="2764">
        <f t="shared" si="197"/>
        <v>0</v>
      </c>
      <c r="V227" s="2764">
        <f t="shared" si="197"/>
        <v>0</v>
      </c>
      <c r="W227" s="2764">
        <f t="shared" si="197"/>
        <v>0</v>
      </c>
      <c r="X227" s="4379"/>
      <c r="Y227" s="3159"/>
      <c r="Z227" s="2411"/>
    </row>
    <row r="228" spans="1:26" s="2317" customFormat="1" ht="27.75" hidden="1" customHeight="1">
      <c r="A228" s="2347"/>
      <c r="B228" s="3058" t="s">
        <v>554</v>
      </c>
      <c r="C228" s="3039" t="s">
        <v>471</v>
      </c>
      <c r="D228" s="2420">
        <f t="shared" si="195"/>
        <v>1426000</v>
      </c>
      <c r="E228" s="2348"/>
      <c r="F228" s="2349"/>
      <c r="G228" s="2349"/>
      <c r="H228" s="2349"/>
      <c r="I228" s="2350"/>
      <c r="J228" s="2350"/>
      <c r="K228" s="2350"/>
      <c r="L228" s="2350"/>
      <c r="M228" s="2424">
        <v>0</v>
      </c>
      <c r="N228" s="2421"/>
      <c r="O228" s="2420">
        <v>0</v>
      </c>
      <c r="P228" s="2420">
        <v>0</v>
      </c>
      <c r="Q228" s="2420">
        <v>0</v>
      </c>
      <c r="R228" s="2420">
        <v>0</v>
      </c>
      <c r="S228" s="2420">
        <v>915000</v>
      </c>
      <c r="T228" s="2420">
        <v>511000</v>
      </c>
      <c r="U228" s="2321">
        <v>0</v>
      </c>
      <c r="V228" s="2321">
        <v>0</v>
      </c>
      <c r="W228" s="2321">
        <v>0</v>
      </c>
      <c r="X228" s="4379"/>
      <c r="Y228" s="2319"/>
      <c r="Z228" s="2318"/>
    </row>
    <row r="229" spans="1:26" s="2412" customFormat="1" ht="21.75" hidden="1" customHeight="1" thickBot="1">
      <c r="A229" s="2408"/>
      <c r="B229" s="3060" t="s">
        <v>565</v>
      </c>
      <c r="C229" s="3039" t="s">
        <v>401</v>
      </c>
      <c r="D229" s="3061">
        <f t="shared" si="195"/>
        <v>41864000</v>
      </c>
      <c r="E229" s="3062"/>
      <c r="F229" s="3063"/>
      <c r="G229" s="3063"/>
      <c r="H229" s="3063"/>
      <c r="I229" s="3064"/>
      <c r="J229" s="3064"/>
      <c r="K229" s="3064"/>
      <c r="L229" s="3064"/>
      <c r="M229" s="3065">
        <v>0</v>
      </c>
      <c r="N229" s="3066"/>
      <c r="O229" s="3061">
        <v>0</v>
      </c>
      <c r="P229" s="3061">
        <v>0</v>
      </c>
      <c r="Q229" s="3061">
        <v>0</v>
      </c>
      <c r="R229" s="3061">
        <v>2328000</v>
      </c>
      <c r="S229" s="3061">
        <v>27936000</v>
      </c>
      <c r="T229" s="3061">
        <v>11600000</v>
      </c>
      <c r="U229" s="3061">
        <v>0</v>
      </c>
      <c r="V229" s="3061">
        <v>0</v>
      </c>
      <c r="W229" s="3061">
        <v>0</v>
      </c>
      <c r="X229" s="4380"/>
      <c r="Y229" s="2410"/>
      <c r="Z229" s="2411"/>
    </row>
    <row r="230" spans="1:26" s="2317" customFormat="1" ht="32.25" customHeight="1">
      <c r="A230" s="4349" t="s">
        <v>109</v>
      </c>
      <c r="B230" s="1828" t="s">
        <v>607</v>
      </c>
      <c r="C230" s="1841" t="s">
        <v>131</v>
      </c>
      <c r="D230" s="1793"/>
      <c r="E230" s="3079"/>
      <c r="F230" s="2336"/>
      <c r="G230" s="2336"/>
      <c r="H230" s="2337"/>
      <c r="I230" s="2338"/>
      <c r="J230" s="2338"/>
      <c r="K230" s="2339"/>
      <c r="L230" s="2339"/>
      <c r="M230" s="2335"/>
      <c r="N230" s="2335"/>
      <c r="O230" s="2335"/>
      <c r="P230" s="2335"/>
      <c r="Q230" s="2335"/>
      <c r="R230" s="2335"/>
      <c r="S230" s="2335"/>
      <c r="T230" s="2335"/>
      <c r="U230" s="2335"/>
      <c r="V230" s="2335"/>
      <c r="W230" s="2340"/>
      <c r="X230" s="3080"/>
      <c r="Y230" s="4469" t="s">
        <v>213</v>
      </c>
      <c r="Z230" s="2318"/>
    </row>
    <row r="231" spans="1:26" s="2317" customFormat="1" ht="21.75" customHeight="1">
      <c r="A231" s="4350"/>
      <c r="B231" s="1822" t="s">
        <v>22</v>
      </c>
      <c r="C231" s="3105"/>
      <c r="D231" s="2433">
        <f>+D232+D236</f>
        <v>5497206</v>
      </c>
      <c r="E231" s="2433">
        <f t="shared" ref="E231:Q231" si="198">+E232+E236</f>
        <v>0</v>
      </c>
      <c r="F231" s="3106">
        <f t="shared" si="198"/>
        <v>0</v>
      </c>
      <c r="G231" s="3106">
        <f t="shared" si="198"/>
        <v>0</v>
      </c>
      <c r="H231" s="3106">
        <f t="shared" si="198"/>
        <v>0</v>
      </c>
      <c r="I231" s="3107">
        <f t="shared" si="198"/>
        <v>0</v>
      </c>
      <c r="J231" s="3107">
        <f t="shared" si="198"/>
        <v>0</v>
      </c>
      <c r="K231" s="3107">
        <f t="shared" si="198"/>
        <v>0</v>
      </c>
      <c r="L231" s="3107">
        <f t="shared" si="198"/>
        <v>0</v>
      </c>
      <c r="M231" s="2433">
        <f t="shared" si="198"/>
        <v>0</v>
      </c>
      <c r="N231" s="2433">
        <f t="shared" si="198"/>
        <v>0</v>
      </c>
      <c r="O231" s="2433">
        <f t="shared" si="198"/>
        <v>0</v>
      </c>
      <c r="P231" s="2433">
        <f t="shared" si="198"/>
        <v>1231321</v>
      </c>
      <c r="Q231" s="2433">
        <f t="shared" si="198"/>
        <v>3054232</v>
      </c>
      <c r="R231" s="2433">
        <f>+R232+R236</f>
        <v>1211653</v>
      </c>
      <c r="S231" s="2232"/>
      <c r="T231" s="2232"/>
      <c r="U231" s="2232"/>
      <c r="V231" s="2232"/>
      <c r="W231" s="2232"/>
      <c r="X231" s="3108">
        <f>X232+X236</f>
        <v>5042000</v>
      </c>
      <c r="Y231" s="4470"/>
      <c r="Z231" s="2318"/>
    </row>
    <row r="232" spans="1:26" s="2317" customFormat="1">
      <c r="A232" s="4350"/>
      <c r="B232" s="1823" t="s">
        <v>36</v>
      </c>
      <c r="C232" s="4472" t="s">
        <v>374</v>
      </c>
      <c r="D232" s="3081">
        <f>SUM(D233:D235)</f>
        <v>1296506</v>
      </c>
      <c r="E232" s="3081">
        <f t="shared" ref="E232:R232" si="199">SUM(E233:E235)</f>
        <v>0</v>
      </c>
      <c r="F232" s="3081">
        <f t="shared" si="199"/>
        <v>0</v>
      </c>
      <c r="G232" s="3081">
        <f t="shared" si="199"/>
        <v>0</v>
      </c>
      <c r="H232" s="3081">
        <f t="shared" si="199"/>
        <v>0</v>
      </c>
      <c r="I232" s="3081">
        <f t="shared" si="199"/>
        <v>0</v>
      </c>
      <c r="J232" s="3081">
        <f t="shared" si="199"/>
        <v>0</v>
      </c>
      <c r="K232" s="3081">
        <f t="shared" si="199"/>
        <v>0</v>
      </c>
      <c r="L232" s="3081">
        <f t="shared" si="199"/>
        <v>0</v>
      </c>
      <c r="M232" s="3081">
        <f t="shared" si="199"/>
        <v>0</v>
      </c>
      <c r="N232" s="3081">
        <f t="shared" si="199"/>
        <v>0</v>
      </c>
      <c r="O232" s="3081">
        <f t="shared" si="199"/>
        <v>0</v>
      </c>
      <c r="P232" s="3081">
        <f t="shared" si="199"/>
        <v>292129</v>
      </c>
      <c r="Q232" s="3081">
        <f t="shared" si="199"/>
        <v>717857</v>
      </c>
      <c r="R232" s="3081">
        <f t="shared" si="199"/>
        <v>286520</v>
      </c>
      <c r="S232" s="3081"/>
      <c r="T232" s="3081"/>
      <c r="U232" s="3081"/>
      <c r="V232" s="3081"/>
      <c r="W232" s="3081"/>
      <c r="X232" s="3022">
        <f>SUM(X233:X234)</f>
        <v>841300</v>
      </c>
      <c r="Y232" s="4470"/>
      <c r="Z232" s="2318"/>
    </row>
    <row r="233" spans="1:26" s="2317" customFormat="1">
      <c r="A233" s="4350"/>
      <c r="B233" s="1849" t="s">
        <v>24</v>
      </c>
      <c r="C233" s="4473"/>
      <c r="D233" s="2240">
        <f>M233+O233+P233+Q233+R233+S233+T233+U233+V233+W233</f>
        <v>100000</v>
      </c>
      <c r="E233" s="3089"/>
      <c r="F233" s="3090"/>
      <c r="G233" s="3090"/>
      <c r="H233" s="3090"/>
      <c r="I233" s="3091"/>
      <c r="J233" s="3091"/>
      <c r="K233" s="3091"/>
      <c r="L233" s="3091"/>
      <c r="M233" s="3089"/>
      <c r="N233" s="3089"/>
      <c r="O233" s="3089"/>
      <c r="P233" s="3093">
        <v>37500</v>
      </c>
      <c r="Q233" s="3093">
        <v>50000</v>
      </c>
      <c r="R233" s="3093">
        <v>12500</v>
      </c>
      <c r="S233" s="3092"/>
      <c r="T233" s="3092"/>
      <c r="U233" s="3092"/>
      <c r="V233" s="3092"/>
      <c r="W233" s="3092"/>
      <c r="X233" s="2246">
        <f>SUM(P233:T233)</f>
        <v>100000</v>
      </c>
      <c r="Y233" s="4470"/>
      <c r="Z233" s="2318"/>
    </row>
    <row r="234" spans="1:26" s="2317" customFormat="1">
      <c r="A234" s="4350"/>
      <c r="B234" s="1849" t="s">
        <v>25</v>
      </c>
      <c r="C234" s="4373"/>
      <c r="D234" s="2240">
        <f>M234+O234+P234+Q234+R234+S234+T234+U234+V234+W234</f>
        <v>741300</v>
      </c>
      <c r="E234" s="2240">
        <v>0</v>
      </c>
      <c r="F234" s="2241"/>
      <c r="G234" s="2241"/>
      <c r="H234" s="2241">
        <v>0</v>
      </c>
      <c r="I234" s="2242"/>
      <c r="J234" s="2242"/>
      <c r="K234" s="2242"/>
      <c r="L234" s="2242"/>
      <c r="M234" s="2240">
        <f>+E234+I234+J234+K234+L234+N234</f>
        <v>0</v>
      </c>
      <c r="N234" s="2240">
        <v>0</v>
      </c>
      <c r="O234" s="2240">
        <v>0</v>
      </c>
      <c r="P234" s="1837">
        <v>165740</v>
      </c>
      <c r="Q234" s="1837">
        <v>412301</v>
      </c>
      <c r="R234" s="1837">
        <v>163259</v>
      </c>
      <c r="S234" s="1837"/>
      <c r="T234" s="1837"/>
      <c r="U234" s="1837"/>
      <c r="V234" s="1837"/>
      <c r="W234" s="1837"/>
      <c r="X234" s="2246">
        <f>SUM(P234:T234)</f>
        <v>741300</v>
      </c>
      <c r="Y234" s="4470"/>
      <c r="Z234" s="2318"/>
    </row>
    <row r="235" spans="1:26" s="2317" customFormat="1">
      <c r="A235" s="4350"/>
      <c r="B235" s="2772" t="s">
        <v>45</v>
      </c>
      <c r="C235" s="4373"/>
      <c r="D235" s="2240">
        <f>M235+O235+P235+Q235+R235+S235+T235+U235+V235+W235</f>
        <v>455206</v>
      </c>
      <c r="E235" s="3094"/>
      <c r="F235" s="3095"/>
      <c r="G235" s="3095"/>
      <c r="H235" s="3095"/>
      <c r="I235" s="3096"/>
      <c r="J235" s="3096"/>
      <c r="K235" s="3096"/>
      <c r="L235" s="3096"/>
      <c r="M235" s="3094"/>
      <c r="N235" s="3094"/>
      <c r="O235" s="3094"/>
      <c r="P235" s="1837">
        <v>88889</v>
      </c>
      <c r="Q235" s="1837">
        <v>255556</v>
      </c>
      <c r="R235" s="1837">
        <v>110761</v>
      </c>
      <c r="S235" s="1837"/>
      <c r="T235" s="1837"/>
      <c r="U235" s="1837"/>
      <c r="V235" s="1837"/>
      <c r="W235" s="1837"/>
      <c r="X235" s="3097" t="s">
        <v>77</v>
      </c>
      <c r="Y235" s="4470"/>
      <c r="Z235" s="2318"/>
    </row>
    <row r="236" spans="1:26" s="2317" customFormat="1">
      <c r="A236" s="4350"/>
      <c r="B236" s="1851" t="s">
        <v>30</v>
      </c>
      <c r="C236" s="4373"/>
      <c r="D236" s="2247">
        <f>+D237</f>
        <v>4200700</v>
      </c>
      <c r="E236" s="2247">
        <f t="shared" ref="E236:R236" si="200">E237</f>
        <v>0</v>
      </c>
      <c r="F236" s="2248">
        <f t="shared" si="200"/>
        <v>0</v>
      </c>
      <c r="G236" s="2248">
        <f t="shared" si="200"/>
        <v>0</v>
      </c>
      <c r="H236" s="2248">
        <f t="shared" si="200"/>
        <v>0</v>
      </c>
      <c r="I236" s="2249">
        <f t="shared" si="200"/>
        <v>0</v>
      </c>
      <c r="J236" s="2249">
        <f t="shared" si="200"/>
        <v>0</v>
      </c>
      <c r="K236" s="2249">
        <f t="shared" si="200"/>
        <v>0</v>
      </c>
      <c r="L236" s="2249">
        <f t="shared" si="200"/>
        <v>0</v>
      </c>
      <c r="M236" s="2247">
        <f t="shared" si="200"/>
        <v>0</v>
      </c>
      <c r="N236" s="2247">
        <f t="shared" si="200"/>
        <v>0</v>
      </c>
      <c r="O236" s="2247">
        <f t="shared" si="200"/>
        <v>0</v>
      </c>
      <c r="P236" s="2247">
        <f t="shared" si="200"/>
        <v>939192</v>
      </c>
      <c r="Q236" s="2247">
        <f t="shared" si="200"/>
        <v>2336375</v>
      </c>
      <c r="R236" s="2247">
        <f t="shared" si="200"/>
        <v>925133</v>
      </c>
      <c r="S236" s="2247"/>
      <c r="T236" s="2247"/>
      <c r="U236" s="2247"/>
      <c r="V236" s="2247"/>
      <c r="W236" s="2247"/>
      <c r="X236" s="3022">
        <f>+X237</f>
        <v>4200700</v>
      </c>
      <c r="Y236" s="4470"/>
      <c r="Z236" s="2318"/>
    </row>
    <row r="237" spans="1:26" s="2317" customFormat="1">
      <c r="A237" s="4350"/>
      <c r="B237" s="2755" t="s">
        <v>33</v>
      </c>
      <c r="C237" s="4366"/>
      <c r="D237" s="2240">
        <f>M237+O237+P237+Q237+R237+S237+T237+U237+V237+W237</f>
        <v>4200700</v>
      </c>
      <c r="E237" s="3082">
        <v>0</v>
      </c>
      <c r="F237" s="3083"/>
      <c r="G237" s="3083"/>
      <c r="H237" s="3083">
        <v>0</v>
      </c>
      <c r="I237" s="3084"/>
      <c r="J237" s="3084"/>
      <c r="K237" s="3084"/>
      <c r="L237" s="3084"/>
      <c r="M237" s="2240">
        <f>+E237+I237+J237+K237+L237+N237</f>
        <v>0</v>
      </c>
      <c r="N237" s="3082">
        <v>0</v>
      </c>
      <c r="O237" s="3082">
        <v>0</v>
      </c>
      <c r="P237" s="1854">
        <v>939192</v>
      </c>
      <c r="Q237" s="1854">
        <v>2336375</v>
      </c>
      <c r="R237" s="1854">
        <v>925133</v>
      </c>
      <c r="S237" s="1854"/>
      <c r="T237" s="1854"/>
      <c r="U237" s="1854"/>
      <c r="V237" s="1854"/>
      <c r="W237" s="1854"/>
      <c r="X237" s="2246">
        <f>SUM(P237:T237)</f>
        <v>4200700</v>
      </c>
      <c r="Y237" s="4470"/>
      <c r="Z237" s="2318"/>
    </row>
    <row r="238" spans="1:26" s="2317" customFormat="1">
      <c r="A238" s="4117"/>
      <c r="B238" s="1822" t="s">
        <v>34</v>
      </c>
      <c r="C238" s="1856"/>
      <c r="D238" s="2232">
        <f>+D239+D241</f>
        <v>4942000</v>
      </c>
      <c r="E238" s="2232">
        <f t="shared" ref="E238:R238" si="201">E239+E241</f>
        <v>0</v>
      </c>
      <c r="F238" s="2233">
        <f t="shared" si="201"/>
        <v>0</v>
      </c>
      <c r="G238" s="2233">
        <f t="shared" si="201"/>
        <v>0</v>
      </c>
      <c r="H238" s="2233">
        <f t="shared" si="201"/>
        <v>0</v>
      </c>
      <c r="I238" s="2234">
        <f t="shared" si="201"/>
        <v>0</v>
      </c>
      <c r="J238" s="2234">
        <f t="shared" si="201"/>
        <v>0</v>
      </c>
      <c r="K238" s="2234">
        <f t="shared" si="201"/>
        <v>0</v>
      </c>
      <c r="L238" s="2234">
        <f t="shared" si="201"/>
        <v>0</v>
      </c>
      <c r="M238" s="2232">
        <f t="shared" si="201"/>
        <v>0</v>
      </c>
      <c r="N238" s="2232">
        <f t="shared" si="201"/>
        <v>0</v>
      </c>
      <c r="O238" s="2232">
        <f t="shared" si="201"/>
        <v>0</v>
      </c>
      <c r="P238" s="2232">
        <f t="shared" si="201"/>
        <v>1104932</v>
      </c>
      <c r="Q238" s="2232">
        <f t="shared" si="201"/>
        <v>2748676</v>
      </c>
      <c r="R238" s="2232">
        <f t="shared" si="201"/>
        <v>1088392</v>
      </c>
      <c r="S238" s="3021"/>
      <c r="T238" s="2232"/>
      <c r="U238" s="2232"/>
      <c r="V238" s="2232"/>
      <c r="W238" s="2232"/>
      <c r="X238" s="4443" t="s">
        <v>77</v>
      </c>
      <c r="Y238" s="4470"/>
      <c r="Z238" s="2318"/>
    </row>
    <row r="239" spans="1:26" s="2317" customFormat="1">
      <c r="A239" s="4117"/>
      <c r="B239" s="1857" t="s">
        <v>36</v>
      </c>
      <c r="C239" s="4472" t="s">
        <v>374</v>
      </c>
      <c r="D239" s="3081">
        <f>+D240</f>
        <v>741300</v>
      </c>
      <c r="E239" s="3081">
        <f t="shared" ref="E239:R239" si="202">E240</f>
        <v>0</v>
      </c>
      <c r="F239" s="2248">
        <f t="shared" si="202"/>
        <v>0</v>
      </c>
      <c r="G239" s="2248">
        <f t="shared" si="202"/>
        <v>0</v>
      </c>
      <c r="H239" s="2248">
        <f t="shared" si="202"/>
        <v>0</v>
      </c>
      <c r="I239" s="2249">
        <f t="shared" si="202"/>
        <v>0</v>
      </c>
      <c r="J239" s="2249">
        <f t="shared" si="202"/>
        <v>0</v>
      </c>
      <c r="K239" s="2249">
        <f t="shared" si="202"/>
        <v>0</v>
      </c>
      <c r="L239" s="2249">
        <f t="shared" si="202"/>
        <v>0</v>
      </c>
      <c r="M239" s="3081">
        <f t="shared" si="202"/>
        <v>0</v>
      </c>
      <c r="N239" s="3081">
        <f t="shared" si="202"/>
        <v>0</v>
      </c>
      <c r="O239" s="3081">
        <f t="shared" si="202"/>
        <v>0</v>
      </c>
      <c r="P239" s="3081">
        <f t="shared" si="202"/>
        <v>165740</v>
      </c>
      <c r="Q239" s="3081">
        <f t="shared" si="202"/>
        <v>412301</v>
      </c>
      <c r="R239" s="3081">
        <f t="shared" si="202"/>
        <v>163259</v>
      </c>
      <c r="S239" s="3085"/>
      <c r="T239" s="3081"/>
      <c r="U239" s="3081"/>
      <c r="V239" s="3081"/>
      <c r="W239" s="3081"/>
      <c r="X239" s="4369"/>
      <c r="Y239" s="4470"/>
      <c r="Z239" s="2318"/>
    </row>
    <row r="240" spans="1:26" s="2317" customFormat="1">
      <c r="A240" s="4117"/>
      <c r="B240" s="1858" t="s">
        <v>25</v>
      </c>
      <c r="C240" s="4373"/>
      <c r="D240" s="2240">
        <f>M240+O240+P240+Q240+R240+S240+T240+U240+V240+W240</f>
        <v>741300</v>
      </c>
      <c r="E240" s="3023">
        <v>0</v>
      </c>
      <c r="F240" s="3086"/>
      <c r="G240" s="3086"/>
      <c r="H240" s="3086"/>
      <c r="I240" s="3087"/>
      <c r="J240" s="3087"/>
      <c r="K240" s="3087"/>
      <c r="L240" s="3087"/>
      <c r="M240" s="2240">
        <f>+E240+I240+J240+K240+L240+N240</f>
        <v>0</v>
      </c>
      <c r="N240" s="3023">
        <v>0</v>
      </c>
      <c r="O240" s="3023">
        <v>0</v>
      </c>
      <c r="P240" s="3023">
        <v>165740</v>
      </c>
      <c r="Q240" s="3023">
        <v>412301</v>
      </c>
      <c r="R240" s="3023">
        <v>163259</v>
      </c>
      <c r="S240" s="3023"/>
      <c r="T240" s="3023"/>
      <c r="U240" s="3023"/>
      <c r="V240" s="3023"/>
      <c r="W240" s="3023"/>
      <c r="X240" s="4369"/>
      <c r="Y240" s="4470"/>
      <c r="Z240" s="2318"/>
    </row>
    <row r="241" spans="1:37" s="2317" customFormat="1">
      <c r="A241" s="4117"/>
      <c r="B241" s="3088" t="s">
        <v>30</v>
      </c>
      <c r="C241" s="4373"/>
      <c r="D241" s="2247">
        <f>+D242</f>
        <v>4200700</v>
      </c>
      <c r="E241" s="2247">
        <f t="shared" ref="E241:R241" si="203">E242</f>
        <v>0</v>
      </c>
      <c r="F241" s="2248">
        <f t="shared" si="203"/>
        <v>0</v>
      </c>
      <c r="G241" s="2248">
        <f t="shared" si="203"/>
        <v>0</v>
      </c>
      <c r="H241" s="2248">
        <f t="shared" si="203"/>
        <v>0</v>
      </c>
      <c r="I241" s="2249">
        <f t="shared" si="203"/>
        <v>0</v>
      </c>
      <c r="J241" s="2249">
        <f t="shared" si="203"/>
        <v>0</v>
      </c>
      <c r="K241" s="2249">
        <f t="shared" si="203"/>
        <v>0</v>
      </c>
      <c r="L241" s="2249">
        <f t="shared" si="203"/>
        <v>0</v>
      </c>
      <c r="M241" s="2247">
        <f t="shared" si="203"/>
        <v>0</v>
      </c>
      <c r="N241" s="2247">
        <f t="shared" si="203"/>
        <v>0</v>
      </c>
      <c r="O241" s="2247">
        <f t="shared" si="203"/>
        <v>0</v>
      </c>
      <c r="P241" s="2247">
        <f t="shared" si="203"/>
        <v>939192</v>
      </c>
      <c r="Q241" s="2247">
        <f t="shared" si="203"/>
        <v>2336375</v>
      </c>
      <c r="R241" s="2247">
        <f t="shared" si="203"/>
        <v>925133</v>
      </c>
      <c r="S241" s="2250"/>
      <c r="T241" s="2247"/>
      <c r="U241" s="2247"/>
      <c r="V241" s="2247"/>
      <c r="W241" s="2247"/>
      <c r="X241" s="4369"/>
      <c r="Y241" s="4470"/>
      <c r="Z241" s="2318"/>
    </row>
    <row r="242" spans="1:37" s="2317" customFormat="1" ht="13.5" thickBot="1">
      <c r="A242" s="4118"/>
      <c r="B242" s="2261" t="s">
        <v>33</v>
      </c>
      <c r="C242" s="4367"/>
      <c r="D242" s="3024">
        <f>M242+O242+P242+Q242+R242+S242+T242+U242+V242+W242</f>
        <v>4200700</v>
      </c>
      <c r="E242" s="1829">
        <v>0</v>
      </c>
      <c r="F242" s="2262"/>
      <c r="G242" s="2262"/>
      <c r="H242" s="2262">
        <v>0</v>
      </c>
      <c r="I242" s="2263"/>
      <c r="J242" s="2263"/>
      <c r="K242" s="2263"/>
      <c r="L242" s="2263"/>
      <c r="M242" s="2265">
        <f>+E242+I242+J242+K242+L242+N242</f>
        <v>0</v>
      </c>
      <c r="N242" s="1829">
        <v>0</v>
      </c>
      <c r="O242" s="1829">
        <v>0</v>
      </c>
      <c r="P242" s="1829">
        <v>939192</v>
      </c>
      <c r="Q242" s="1829">
        <v>2336375</v>
      </c>
      <c r="R242" s="1829">
        <v>925133</v>
      </c>
      <c r="S242" s="1829"/>
      <c r="T242" s="1829"/>
      <c r="U242" s="1829"/>
      <c r="V242" s="1829"/>
      <c r="W242" s="1829"/>
      <c r="X242" s="4370"/>
      <c r="Y242" s="4471"/>
      <c r="Z242" s="2318"/>
    </row>
    <row r="243" spans="1:37" s="1987" customFormat="1" ht="25.5" customHeight="1" thickBot="1">
      <c r="A243" s="857" t="s">
        <v>226</v>
      </c>
      <c r="B243" s="858"/>
      <c r="C243" s="858"/>
      <c r="D243" s="2342"/>
      <c r="E243" s="3111"/>
      <c r="F243" s="3112"/>
      <c r="G243" s="3112"/>
      <c r="H243" s="3112"/>
      <c r="I243" s="3113"/>
      <c r="J243" s="3113"/>
      <c r="K243" s="3113"/>
      <c r="L243" s="3113"/>
      <c r="M243" s="2342"/>
      <c r="N243" s="2342"/>
      <c r="O243" s="2342"/>
      <c r="P243" s="2342"/>
      <c r="Q243" s="2342"/>
      <c r="R243" s="2342"/>
      <c r="S243" s="2342"/>
      <c r="T243" s="2342"/>
      <c r="U243" s="2342"/>
      <c r="V243" s="2342"/>
      <c r="W243" s="2342"/>
      <c r="X243" s="2343"/>
      <c r="Y243" s="861"/>
    </row>
    <row r="244" spans="1:37" s="1942" customFormat="1" ht="16.5" customHeight="1">
      <c r="A244" s="851"/>
      <c r="B244" s="1008" t="s">
        <v>92</v>
      </c>
      <c r="C244" s="1009"/>
      <c r="D244" s="1010">
        <f>+D245+D246</f>
        <v>54956865</v>
      </c>
      <c r="E244" s="1010">
        <f t="shared" ref="E244:Q244" si="204">+E245+E246</f>
        <v>0</v>
      </c>
      <c r="F244" s="2152">
        <f t="shared" si="204"/>
        <v>0</v>
      </c>
      <c r="G244" s="2152">
        <f t="shared" si="204"/>
        <v>0</v>
      </c>
      <c r="H244" s="2152">
        <f t="shared" si="204"/>
        <v>0</v>
      </c>
      <c r="I244" s="2153">
        <f t="shared" si="204"/>
        <v>156327</v>
      </c>
      <c r="J244" s="2153">
        <f t="shared" si="204"/>
        <v>34555</v>
      </c>
      <c r="K244" s="2153">
        <f t="shared" si="204"/>
        <v>6883394</v>
      </c>
      <c r="L244" s="2153">
        <f t="shared" si="204"/>
        <v>4899792</v>
      </c>
      <c r="M244" s="1010">
        <f t="shared" ref="M244" si="205">+M245+M246</f>
        <v>17999340</v>
      </c>
      <c r="N244" s="1010">
        <f t="shared" si="204"/>
        <v>6025272</v>
      </c>
      <c r="O244" s="1010">
        <f t="shared" si="204"/>
        <v>6485389</v>
      </c>
      <c r="P244" s="1010">
        <f t="shared" si="204"/>
        <v>9225305</v>
      </c>
      <c r="Q244" s="1010">
        <f t="shared" si="204"/>
        <v>8835105</v>
      </c>
      <c r="R244" s="1010">
        <f>+R245+R246</f>
        <v>7382305</v>
      </c>
      <c r="S244" s="1010">
        <f>+S245+S246</f>
        <v>5029421</v>
      </c>
      <c r="T244" s="1010">
        <f t="shared" ref="T244" si="206">+T245+T246</f>
        <v>0</v>
      </c>
      <c r="U244" s="1010"/>
      <c r="V244" s="1010"/>
      <c r="W244" s="1010"/>
      <c r="X244" s="742">
        <f>+X245+X246</f>
        <v>30472136</v>
      </c>
      <c r="Y244" s="4453" t="s">
        <v>77</v>
      </c>
      <c r="Z244" s="2004"/>
    </row>
    <row r="245" spans="1:37" s="1942" customFormat="1" ht="13.5" customHeight="1">
      <c r="A245" s="851"/>
      <c r="B245" s="993" t="s">
        <v>93</v>
      </c>
      <c r="C245" s="994"/>
      <c r="D245" s="995">
        <f>+D259+D263</f>
        <v>52839785</v>
      </c>
      <c r="E245" s="995">
        <f t="shared" ref="E245:Q245" si="207">+E259+E263</f>
        <v>0</v>
      </c>
      <c r="F245" s="2154">
        <f t="shared" si="207"/>
        <v>0</v>
      </c>
      <c r="G245" s="2154">
        <f t="shared" si="207"/>
        <v>0</v>
      </c>
      <c r="H245" s="2154">
        <f t="shared" si="207"/>
        <v>0</v>
      </c>
      <c r="I245" s="2155">
        <f t="shared" si="207"/>
        <v>0</v>
      </c>
      <c r="J245" s="2155">
        <f t="shared" si="207"/>
        <v>0</v>
      </c>
      <c r="K245" s="2155">
        <f t="shared" si="207"/>
        <v>4992196</v>
      </c>
      <c r="L245" s="2155">
        <f t="shared" si="207"/>
        <v>4899789</v>
      </c>
      <c r="M245" s="995">
        <f t="shared" ref="M245" si="208">+M259+M263</f>
        <v>15902409</v>
      </c>
      <c r="N245" s="995">
        <f t="shared" si="207"/>
        <v>6010424</v>
      </c>
      <c r="O245" s="995">
        <f t="shared" si="207"/>
        <v>6485389</v>
      </c>
      <c r="P245" s="995">
        <f t="shared" si="207"/>
        <v>9205156</v>
      </c>
      <c r="Q245" s="995">
        <f t="shared" si="207"/>
        <v>8835105</v>
      </c>
      <c r="R245" s="995">
        <f>+R259</f>
        <v>7382305</v>
      </c>
      <c r="S245" s="995">
        <f>+S259</f>
        <v>5029421</v>
      </c>
      <c r="T245" s="995">
        <f t="shared" ref="T245" si="209">+T259</f>
        <v>0</v>
      </c>
      <c r="U245" s="995"/>
      <c r="V245" s="995"/>
      <c r="W245" s="995"/>
      <c r="X245" s="354">
        <f>SUM(P245:T245)</f>
        <v>30451987</v>
      </c>
      <c r="Y245" s="4454"/>
    </row>
    <row r="246" spans="1:37" s="1942" customFormat="1" ht="13.5" customHeight="1" thickBot="1">
      <c r="A246" s="851"/>
      <c r="B246" s="1011" t="s">
        <v>21</v>
      </c>
      <c r="C246" s="994"/>
      <c r="D246" s="995">
        <f>+D255</f>
        <v>2117080</v>
      </c>
      <c r="E246" s="995">
        <f>+E255</f>
        <v>0</v>
      </c>
      <c r="F246" s="2154">
        <f>F255</f>
        <v>0</v>
      </c>
      <c r="G246" s="2154">
        <f>G255</f>
        <v>0</v>
      </c>
      <c r="H246" s="2154">
        <f>H255</f>
        <v>0</v>
      </c>
      <c r="I246" s="2155">
        <f>+I255</f>
        <v>156327</v>
      </c>
      <c r="J246" s="2155">
        <f>+J255</f>
        <v>34555</v>
      </c>
      <c r="K246" s="2155">
        <f t="shared" ref="K246:Q246" si="210">+K255</f>
        <v>1891198</v>
      </c>
      <c r="L246" s="2155">
        <f t="shared" si="210"/>
        <v>3</v>
      </c>
      <c r="M246" s="995">
        <f t="shared" ref="M246" si="211">+M255</f>
        <v>2096931</v>
      </c>
      <c r="N246" s="995">
        <f t="shared" si="210"/>
        <v>14848</v>
      </c>
      <c r="O246" s="995">
        <f t="shared" si="210"/>
        <v>0</v>
      </c>
      <c r="P246" s="995">
        <f t="shared" si="210"/>
        <v>20149</v>
      </c>
      <c r="Q246" s="995">
        <f t="shared" si="210"/>
        <v>0</v>
      </c>
      <c r="R246" s="2156">
        <f>+R255</f>
        <v>0</v>
      </c>
      <c r="S246" s="2156">
        <f t="shared" ref="S246:T246" si="212">+S255</f>
        <v>0</v>
      </c>
      <c r="T246" s="2156">
        <f t="shared" si="212"/>
        <v>0</v>
      </c>
      <c r="U246" s="2156"/>
      <c r="V246" s="2156"/>
      <c r="W246" s="2156"/>
      <c r="X246" s="744">
        <f>SUM(P246:T246)</f>
        <v>20149</v>
      </c>
      <c r="Y246" s="4454"/>
    </row>
    <row r="247" spans="1:37" s="2160" customFormat="1" ht="16.5" customHeight="1">
      <c r="A247" s="2157"/>
      <c r="B247" s="809" t="s">
        <v>22</v>
      </c>
      <c r="C247" s="810"/>
      <c r="D247" s="748">
        <f>+D248</f>
        <v>54956865</v>
      </c>
      <c r="E247" s="748">
        <f t="shared" ref="E247:T248" si="213">+E248</f>
        <v>0</v>
      </c>
      <c r="F247" s="2005">
        <f t="shared" si="213"/>
        <v>0</v>
      </c>
      <c r="G247" s="2005">
        <f t="shared" si="213"/>
        <v>0</v>
      </c>
      <c r="H247" s="2005">
        <f t="shared" si="213"/>
        <v>0</v>
      </c>
      <c r="I247" s="2006">
        <f t="shared" si="213"/>
        <v>156327</v>
      </c>
      <c r="J247" s="2006">
        <f t="shared" si="213"/>
        <v>34555</v>
      </c>
      <c r="K247" s="2006">
        <f t="shared" si="213"/>
        <v>6883394</v>
      </c>
      <c r="L247" s="2006">
        <f t="shared" si="213"/>
        <v>4899792</v>
      </c>
      <c r="M247" s="748">
        <f t="shared" si="213"/>
        <v>17799340</v>
      </c>
      <c r="N247" s="748">
        <f t="shared" si="213"/>
        <v>6025272</v>
      </c>
      <c r="O247" s="748">
        <f t="shared" si="213"/>
        <v>6485389</v>
      </c>
      <c r="P247" s="748">
        <f t="shared" si="213"/>
        <v>9225305</v>
      </c>
      <c r="Q247" s="748">
        <f t="shared" si="213"/>
        <v>8835105</v>
      </c>
      <c r="R247" s="748">
        <f t="shared" si="213"/>
        <v>7382305</v>
      </c>
      <c r="S247" s="748">
        <f t="shared" si="213"/>
        <v>5029421</v>
      </c>
      <c r="T247" s="748">
        <f t="shared" si="213"/>
        <v>0</v>
      </c>
      <c r="U247" s="748"/>
      <c r="V247" s="748"/>
      <c r="W247" s="748"/>
      <c r="X247" s="2158">
        <f>+X248</f>
        <v>30472136</v>
      </c>
      <c r="Y247" s="4454"/>
      <c r="Z247" s="2159"/>
      <c r="AA247" s="2159"/>
    </row>
    <row r="248" spans="1:37" s="2167" customFormat="1" ht="14.25" customHeight="1">
      <c r="A248" s="863"/>
      <c r="B248" s="749" t="s">
        <v>23</v>
      </c>
      <c r="C248" s="4456" t="s">
        <v>77</v>
      </c>
      <c r="D248" s="2161">
        <f>+D249+D250</f>
        <v>54956865</v>
      </c>
      <c r="E248" s="2161">
        <f t="shared" si="213"/>
        <v>0</v>
      </c>
      <c r="F248" s="2162">
        <f t="shared" si="213"/>
        <v>0</v>
      </c>
      <c r="G248" s="2162">
        <f t="shared" si="213"/>
        <v>0</v>
      </c>
      <c r="H248" s="2162">
        <f t="shared" si="213"/>
        <v>0</v>
      </c>
      <c r="I248" s="2163">
        <f t="shared" si="213"/>
        <v>156327</v>
      </c>
      <c r="J248" s="2163">
        <f t="shared" si="213"/>
        <v>34555</v>
      </c>
      <c r="K248" s="2163">
        <f t="shared" si="213"/>
        <v>6883394</v>
      </c>
      <c r="L248" s="2163">
        <f t="shared" si="213"/>
        <v>4899792</v>
      </c>
      <c r="M248" s="2161">
        <f t="shared" si="213"/>
        <v>17799340</v>
      </c>
      <c r="N248" s="2161">
        <f>+N249+N250</f>
        <v>6025272</v>
      </c>
      <c r="O248" s="2161">
        <f>+O249+O250</f>
        <v>6485389</v>
      </c>
      <c r="P248" s="2161">
        <f t="shared" si="213"/>
        <v>9225305</v>
      </c>
      <c r="Q248" s="2161">
        <f t="shared" si="213"/>
        <v>8835105</v>
      </c>
      <c r="R248" s="2161">
        <f t="shared" si="213"/>
        <v>7382305</v>
      </c>
      <c r="S248" s="2161">
        <f t="shared" si="213"/>
        <v>5029421</v>
      </c>
      <c r="T248" s="2161">
        <f t="shared" si="213"/>
        <v>0</v>
      </c>
      <c r="U248" s="2161"/>
      <c r="V248" s="2161"/>
      <c r="W248" s="2161"/>
      <c r="X248" s="2164">
        <f>+X249+X250</f>
        <v>30472136</v>
      </c>
      <c r="Y248" s="4454"/>
      <c r="Z248" s="2165"/>
      <c r="AA248" s="2166"/>
      <c r="AB248" s="2165"/>
      <c r="AC248" s="2165"/>
      <c r="AD248" s="2165"/>
      <c r="AE248" s="2165"/>
      <c r="AF248" s="2165"/>
      <c r="AG248" s="2165"/>
      <c r="AH248" s="2165"/>
      <c r="AI248" s="2165"/>
      <c r="AJ248" s="2165"/>
      <c r="AK248" s="2165"/>
    </row>
    <row r="249" spans="1:37" s="2017" customFormat="1" ht="13.5" customHeight="1">
      <c r="A249" s="753"/>
      <c r="B249" s="754" t="s">
        <v>24</v>
      </c>
      <c r="C249" s="4457"/>
      <c r="D249" s="2168">
        <f>+D257+D261+D265</f>
        <v>54609865</v>
      </c>
      <c r="E249" s="2168">
        <f>+E257+E261</f>
        <v>0</v>
      </c>
      <c r="F249" s="2169">
        <f t="shared" ref="F249:L249" si="214">+F257+F261</f>
        <v>0</v>
      </c>
      <c r="G249" s="2169">
        <f t="shared" si="214"/>
        <v>0</v>
      </c>
      <c r="H249" s="2169">
        <f t="shared" si="214"/>
        <v>0</v>
      </c>
      <c r="I249" s="2170">
        <f t="shared" si="214"/>
        <v>156327</v>
      </c>
      <c r="J249" s="2170">
        <f t="shared" si="214"/>
        <v>34555</v>
      </c>
      <c r="K249" s="2170">
        <f t="shared" si="214"/>
        <v>6883394</v>
      </c>
      <c r="L249" s="2170">
        <f t="shared" si="214"/>
        <v>4899792</v>
      </c>
      <c r="M249" s="2168">
        <f>+M257+M261+M265</f>
        <v>17799340</v>
      </c>
      <c r="N249" s="2168">
        <f>+N257+N261+N265</f>
        <v>5825272</v>
      </c>
      <c r="O249" s="2168">
        <f>+O257+O261+O265</f>
        <v>6338389</v>
      </c>
      <c r="P249" s="2168">
        <f>+P257+P261+P265</f>
        <v>9225305</v>
      </c>
      <c r="Q249" s="2168">
        <f>+Q257+Q261</f>
        <v>8835105</v>
      </c>
      <c r="R249" s="2168">
        <f t="shared" ref="R249:T249" si="215">+R257+R261</f>
        <v>7382305</v>
      </c>
      <c r="S249" s="2168">
        <f t="shared" si="215"/>
        <v>5029421</v>
      </c>
      <c r="T249" s="2168">
        <f t="shared" si="215"/>
        <v>0</v>
      </c>
      <c r="U249" s="2168"/>
      <c r="V249" s="2168"/>
      <c r="W249" s="2168"/>
      <c r="X249" s="2151">
        <f>SUM(P249:W249)</f>
        <v>30472136</v>
      </c>
      <c r="Y249" s="4454"/>
      <c r="Z249" s="2004"/>
    </row>
    <row r="250" spans="1:37" s="2017" customFormat="1" ht="13.5" customHeight="1">
      <c r="A250" s="753"/>
      <c r="B250" s="754" t="s">
        <v>26</v>
      </c>
      <c r="C250" s="4457"/>
      <c r="D250" s="2168">
        <f>+D266</f>
        <v>347000</v>
      </c>
      <c r="E250" s="2168">
        <f>+E266</f>
        <v>0</v>
      </c>
      <c r="F250" s="2169">
        <f t="shared" ref="F250:J250" si="216">+F266</f>
        <v>0</v>
      </c>
      <c r="G250" s="2169">
        <f t="shared" si="216"/>
        <v>0</v>
      </c>
      <c r="H250" s="2169">
        <f t="shared" si="216"/>
        <v>0</v>
      </c>
      <c r="I250" s="2170">
        <f t="shared" si="216"/>
        <v>0</v>
      </c>
      <c r="J250" s="2170">
        <f t="shared" si="216"/>
        <v>0</v>
      </c>
      <c r="K250" s="2170">
        <f t="shared" ref="K250:P250" si="217">+K266</f>
        <v>0</v>
      </c>
      <c r="L250" s="2170">
        <f t="shared" si="217"/>
        <v>0</v>
      </c>
      <c r="M250" s="2168">
        <f t="shared" si="217"/>
        <v>200000</v>
      </c>
      <c r="N250" s="2168">
        <f t="shared" si="217"/>
        <v>200000</v>
      </c>
      <c r="O250" s="2168">
        <f t="shared" si="217"/>
        <v>147000</v>
      </c>
      <c r="P250" s="2168">
        <f t="shared" si="217"/>
        <v>0</v>
      </c>
      <c r="Q250" s="2168">
        <f t="shared" ref="Q250:T250" si="218">+Q266</f>
        <v>0</v>
      </c>
      <c r="R250" s="2168">
        <f t="shared" si="218"/>
        <v>0</v>
      </c>
      <c r="S250" s="2168">
        <f t="shared" si="218"/>
        <v>0</v>
      </c>
      <c r="T250" s="2168">
        <f t="shared" si="218"/>
        <v>0</v>
      </c>
      <c r="U250" s="2168"/>
      <c r="V250" s="2168"/>
      <c r="W250" s="2168"/>
      <c r="X250" s="2151">
        <f>SUM(P250:W250)</f>
        <v>0</v>
      </c>
      <c r="Y250" s="4454"/>
      <c r="Z250" s="2004"/>
    </row>
    <row r="251" spans="1:37" s="2009" customFormat="1" ht="15" customHeight="1">
      <c r="A251" s="745"/>
      <c r="B251" s="524" t="s">
        <v>34</v>
      </c>
      <c r="C251" s="545"/>
      <c r="D251" s="862">
        <f>+D252</f>
        <v>347000</v>
      </c>
      <c r="E251" s="862">
        <f t="shared" ref="E251:M252" si="219">+E252</f>
        <v>0</v>
      </c>
      <c r="F251" s="2171">
        <f t="shared" si="219"/>
        <v>0</v>
      </c>
      <c r="G251" s="2171">
        <f t="shared" si="219"/>
        <v>0</v>
      </c>
      <c r="H251" s="2171">
        <f t="shared" si="219"/>
        <v>0</v>
      </c>
      <c r="I251" s="2172">
        <f t="shared" si="219"/>
        <v>0</v>
      </c>
      <c r="J251" s="2172">
        <f t="shared" si="219"/>
        <v>0</v>
      </c>
      <c r="K251" s="2172">
        <f t="shared" si="219"/>
        <v>0</v>
      </c>
      <c r="L251" s="2172">
        <f t="shared" si="219"/>
        <v>0</v>
      </c>
      <c r="M251" s="862">
        <f t="shared" si="219"/>
        <v>200000</v>
      </c>
      <c r="N251" s="862">
        <f>+N252</f>
        <v>200000</v>
      </c>
      <c r="O251" s="862">
        <f>+O252</f>
        <v>147000</v>
      </c>
      <c r="P251" s="862">
        <f t="shared" ref="P251:T252" si="220">+P252</f>
        <v>0</v>
      </c>
      <c r="Q251" s="862">
        <f t="shared" si="220"/>
        <v>0</v>
      </c>
      <c r="R251" s="862">
        <f t="shared" si="220"/>
        <v>0</v>
      </c>
      <c r="S251" s="862">
        <f t="shared" si="220"/>
        <v>0</v>
      </c>
      <c r="T251" s="862">
        <f t="shared" si="220"/>
        <v>0</v>
      </c>
      <c r="U251" s="862"/>
      <c r="V251" s="862"/>
      <c r="W251" s="862"/>
      <c r="X251" s="4419" t="s">
        <v>77</v>
      </c>
      <c r="Y251" s="4454"/>
      <c r="Z251" s="2008"/>
      <c r="AA251" s="2008"/>
    </row>
    <row r="252" spans="1:37" s="2009" customFormat="1" ht="14.25" customHeight="1">
      <c r="A252" s="745"/>
      <c r="B252" s="749" t="s">
        <v>23</v>
      </c>
      <c r="C252" s="4456" t="s">
        <v>77</v>
      </c>
      <c r="D252" s="2161">
        <f>+D253</f>
        <v>347000</v>
      </c>
      <c r="E252" s="2161">
        <f t="shared" si="219"/>
        <v>0</v>
      </c>
      <c r="F252" s="2162">
        <f t="shared" si="219"/>
        <v>0</v>
      </c>
      <c r="G252" s="2162">
        <f t="shared" si="219"/>
        <v>0</v>
      </c>
      <c r="H252" s="2162">
        <f t="shared" si="219"/>
        <v>0</v>
      </c>
      <c r="I252" s="2163">
        <f t="shared" si="219"/>
        <v>0</v>
      </c>
      <c r="J252" s="2163">
        <f t="shared" si="219"/>
        <v>0</v>
      </c>
      <c r="K252" s="2163">
        <f>+K253</f>
        <v>0</v>
      </c>
      <c r="L252" s="2163">
        <f t="shared" ref="L252:M252" si="221">+L253</f>
        <v>0</v>
      </c>
      <c r="M252" s="2161">
        <f t="shared" si="221"/>
        <v>200000</v>
      </c>
      <c r="N252" s="2161">
        <f>+N253</f>
        <v>200000</v>
      </c>
      <c r="O252" s="2161">
        <f t="shared" ref="O252" si="222">+O253</f>
        <v>147000</v>
      </c>
      <c r="P252" s="2161">
        <f t="shared" si="220"/>
        <v>0</v>
      </c>
      <c r="Q252" s="2161">
        <f t="shared" si="220"/>
        <v>0</v>
      </c>
      <c r="R252" s="2161">
        <f t="shared" si="220"/>
        <v>0</v>
      </c>
      <c r="S252" s="2161">
        <f t="shared" si="220"/>
        <v>0</v>
      </c>
      <c r="T252" s="2161">
        <f t="shared" si="220"/>
        <v>0</v>
      </c>
      <c r="U252" s="2161"/>
      <c r="V252" s="2161"/>
      <c r="W252" s="2161"/>
      <c r="X252" s="4379"/>
      <c r="Y252" s="4454"/>
      <c r="Z252" s="2008"/>
      <c r="AA252" s="2008"/>
    </row>
    <row r="253" spans="1:37" s="2017" customFormat="1" ht="16.5" customHeight="1" thickBot="1">
      <c r="A253" s="753"/>
      <c r="B253" s="754" t="s">
        <v>26</v>
      </c>
      <c r="C253" s="4457"/>
      <c r="D253" s="2168">
        <f>+D269</f>
        <v>347000</v>
      </c>
      <c r="E253" s="2168">
        <f>+E269</f>
        <v>0</v>
      </c>
      <c r="F253" s="2169">
        <f t="shared" ref="F253:T253" si="223">+F269</f>
        <v>0</v>
      </c>
      <c r="G253" s="2169">
        <f t="shared" si="223"/>
        <v>0</v>
      </c>
      <c r="H253" s="2169">
        <f t="shared" si="223"/>
        <v>0</v>
      </c>
      <c r="I253" s="2170">
        <f t="shared" si="223"/>
        <v>0</v>
      </c>
      <c r="J253" s="2170">
        <f t="shared" si="223"/>
        <v>0</v>
      </c>
      <c r="K253" s="2170">
        <f t="shared" si="223"/>
        <v>0</v>
      </c>
      <c r="L253" s="2170">
        <f t="shared" si="223"/>
        <v>0</v>
      </c>
      <c r="M253" s="2168">
        <f t="shared" ref="M253" si="224">+M269</f>
        <v>200000</v>
      </c>
      <c r="N253" s="2168">
        <f t="shared" si="223"/>
        <v>200000</v>
      </c>
      <c r="O253" s="2168">
        <f t="shared" si="223"/>
        <v>147000</v>
      </c>
      <c r="P253" s="2168">
        <f>+P269</f>
        <v>0</v>
      </c>
      <c r="Q253" s="2168">
        <f t="shared" si="223"/>
        <v>0</v>
      </c>
      <c r="R253" s="2168">
        <f t="shared" si="223"/>
        <v>0</v>
      </c>
      <c r="S253" s="2168">
        <f t="shared" si="223"/>
        <v>0</v>
      </c>
      <c r="T253" s="2168">
        <f t="shared" si="223"/>
        <v>0</v>
      </c>
      <c r="U253" s="2173"/>
      <c r="V253" s="2173"/>
      <c r="W253" s="2173"/>
      <c r="X253" s="4380"/>
      <c r="Y253" s="4455"/>
      <c r="Z253" s="2007"/>
    </row>
    <row r="254" spans="1:37" s="2029" customFormat="1" ht="29.25" customHeight="1">
      <c r="A254" s="4349" t="s">
        <v>79</v>
      </c>
      <c r="B254" s="2174" t="s">
        <v>528</v>
      </c>
      <c r="C254" s="2175" t="s">
        <v>98</v>
      </c>
      <c r="D254" s="4466"/>
      <c r="E254" s="4467"/>
      <c r="F254" s="4467"/>
      <c r="G254" s="4467"/>
      <c r="H254" s="4467"/>
      <c r="I254" s="4467"/>
      <c r="J254" s="4467"/>
      <c r="K254" s="4467"/>
      <c r="L254" s="4467"/>
      <c r="M254" s="4467"/>
      <c r="N254" s="4467"/>
      <c r="O254" s="4467"/>
      <c r="P254" s="4467"/>
      <c r="Q254" s="4467"/>
      <c r="R254" s="4467"/>
      <c r="S254" s="4467"/>
      <c r="T254" s="4467"/>
      <c r="U254" s="4467"/>
      <c r="V254" s="4467"/>
      <c r="W254" s="4468"/>
      <c r="X254" s="2068"/>
      <c r="Y254" s="4413" t="s">
        <v>227</v>
      </c>
    </row>
    <row r="255" spans="1:37" s="2029" customFormat="1" ht="15" customHeight="1">
      <c r="A255" s="4350"/>
      <c r="B255" s="524" t="s">
        <v>22</v>
      </c>
      <c r="C255" s="798"/>
      <c r="D255" s="2039">
        <f>+D256</f>
        <v>2117080</v>
      </c>
      <c r="E255" s="2039">
        <f t="shared" ref="E255:X256" si="225">+E256</f>
        <v>0</v>
      </c>
      <c r="F255" s="2040">
        <f t="shared" si="225"/>
        <v>0</v>
      </c>
      <c r="G255" s="2040">
        <f t="shared" si="225"/>
        <v>0</v>
      </c>
      <c r="H255" s="2040">
        <f t="shared" si="225"/>
        <v>0</v>
      </c>
      <c r="I255" s="2041">
        <f t="shared" si="225"/>
        <v>156327</v>
      </c>
      <c r="J255" s="2041">
        <f t="shared" si="225"/>
        <v>34555</v>
      </c>
      <c r="K255" s="2041">
        <f t="shared" si="225"/>
        <v>1891198</v>
      </c>
      <c r="L255" s="2041">
        <f t="shared" si="225"/>
        <v>3</v>
      </c>
      <c r="M255" s="2039">
        <f t="shared" si="225"/>
        <v>2096931</v>
      </c>
      <c r="N255" s="2039">
        <f t="shared" si="225"/>
        <v>14848</v>
      </c>
      <c r="O255" s="2039">
        <f t="shared" si="225"/>
        <v>0</v>
      </c>
      <c r="P255" s="2039">
        <f t="shared" si="225"/>
        <v>20149</v>
      </c>
      <c r="Q255" s="2176">
        <v>0</v>
      </c>
      <c r="R255" s="2176">
        <v>0</v>
      </c>
      <c r="S255" s="2176">
        <v>0</v>
      </c>
      <c r="T255" s="2176">
        <v>0</v>
      </c>
      <c r="U255" s="2176">
        <v>0</v>
      </c>
      <c r="V255" s="2176">
        <v>0</v>
      </c>
      <c r="W255" s="2176">
        <v>0</v>
      </c>
      <c r="X255" s="2042">
        <f t="shared" si="225"/>
        <v>20149</v>
      </c>
      <c r="Y255" s="4451"/>
      <c r="Z255" s="2004"/>
    </row>
    <row r="256" spans="1:37" s="2029" customFormat="1" ht="12" customHeight="1">
      <c r="A256" s="4350"/>
      <c r="B256" s="779" t="s">
        <v>36</v>
      </c>
      <c r="C256" s="4429" t="s">
        <v>228</v>
      </c>
      <c r="D256" s="2052">
        <f>+D257</f>
        <v>2117080</v>
      </c>
      <c r="E256" s="2052">
        <f t="shared" si="225"/>
        <v>0</v>
      </c>
      <c r="F256" s="2044">
        <f t="shared" si="225"/>
        <v>0</v>
      </c>
      <c r="G256" s="2044">
        <f t="shared" si="225"/>
        <v>0</v>
      </c>
      <c r="H256" s="2044">
        <f t="shared" si="225"/>
        <v>0</v>
      </c>
      <c r="I256" s="2045">
        <f t="shared" si="225"/>
        <v>156327</v>
      </c>
      <c r="J256" s="2045">
        <f t="shared" si="225"/>
        <v>34555</v>
      </c>
      <c r="K256" s="2045">
        <f t="shared" si="225"/>
        <v>1891198</v>
      </c>
      <c r="L256" s="2045">
        <f t="shared" si="225"/>
        <v>3</v>
      </c>
      <c r="M256" s="2052">
        <f t="shared" si="225"/>
        <v>2096931</v>
      </c>
      <c r="N256" s="2052">
        <f t="shared" si="225"/>
        <v>14848</v>
      </c>
      <c r="O256" s="2052">
        <f t="shared" si="225"/>
        <v>0</v>
      </c>
      <c r="P256" s="2052">
        <f t="shared" si="225"/>
        <v>20149</v>
      </c>
      <c r="Q256" s="2177">
        <v>0</v>
      </c>
      <c r="R256" s="2177">
        <v>0</v>
      </c>
      <c r="S256" s="2177">
        <v>0</v>
      </c>
      <c r="T256" s="2177">
        <v>0</v>
      </c>
      <c r="U256" s="2177">
        <v>0</v>
      </c>
      <c r="V256" s="2177">
        <v>0</v>
      </c>
      <c r="W256" s="2177">
        <v>0</v>
      </c>
      <c r="X256" s="2178">
        <f t="shared" si="225"/>
        <v>20149</v>
      </c>
      <c r="Y256" s="4451"/>
    </row>
    <row r="257" spans="1:26" s="2029" customFormat="1" ht="13.5" customHeight="1" thickBot="1">
      <c r="A257" s="4445"/>
      <c r="B257" s="2179" t="s">
        <v>24</v>
      </c>
      <c r="C257" s="4353"/>
      <c r="D257" s="1776">
        <f>M257+O257+P257+Q257+R257+S257+T257+U257+V257+W257</f>
        <v>2117080</v>
      </c>
      <c r="E257" s="796">
        <v>0</v>
      </c>
      <c r="F257" s="2180">
        <v>0</v>
      </c>
      <c r="G257" s="2180">
        <v>0</v>
      </c>
      <c r="H257" s="2180">
        <v>0</v>
      </c>
      <c r="I257" s="2101">
        <f>153720+2607</f>
        <v>156327</v>
      </c>
      <c r="J257" s="2101">
        <f>25000+1450000+500000-1940000-445</f>
        <v>34555</v>
      </c>
      <c r="K257" s="2101">
        <f>1940000-35000-13802</f>
        <v>1891198</v>
      </c>
      <c r="L257" s="2101">
        <f>35000-34997</f>
        <v>3</v>
      </c>
      <c r="M257" s="800">
        <f>+E257+I257+J257+K257+L257+N257</f>
        <v>2096931</v>
      </c>
      <c r="N257" s="796">
        <f>24347+8150-17649</f>
        <v>14848</v>
      </c>
      <c r="O257" s="796">
        <f>2500+17649-20149</f>
        <v>0</v>
      </c>
      <c r="P257" s="796">
        <v>20149</v>
      </c>
      <c r="Q257" s="2181">
        <v>0</v>
      </c>
      <c r="R257" s="2181">
        <v>0</v>
      </c>
      <c r="S257" s="2181">
        <v>0</v>
      </c>
      <c r="T257" s="2181">
        <v>0</v>
      </c>
      <c r="U257" s="2181">
        <v>0</v>
      </c>
      <c r="V257" s="2181">
        <v>0</v>
      </c>
      <c r="W257" s="2181">
        <v>0</v>
      </c>
      <c r="X257" s="2182">
        <f>SUM(P257:T257)</f>
        <v>20149</v>
      </c>
      <c r="Y257" s="4452"/>
    </row>
    <row r="258" spans="1:26" s="2029" customFormat="1" ht="36" customHeight="1">
      <c r="A258" s="4426" t="s">
        <v>80</v>
      </c>
      <c r="B258" s="771" t="s">
        <v>375</v>
      </c>
      <c r="C258" s="2175" t="s">
        <v>131</v>
      </c>
      <c r="D258" s="4462"/>
      <c r="E258" s="4463"/>
      <c r="F258" s="4463"/>
      <c r="G258" s="4463"/>
      <c r="H258" s="4463"/>
      <c r="I258" s="4463"/>
      <c r="J258" s="4463"/>
      <c r="K258" s="4463"/>
      <c r="L258" s="4463"/>
      <c r="M258" s="4463"/>
      <c r="N258" s="4463"/>
      <c r="O258" s="4463"/>
      <c r="P258" s="4463"/>
      <c r="Q258" s="4463"/>
      <c r="R258" s="4463"/>
      <c r="S258" s="4463"/>
      <c r="T258" s="4463"/>
      <c r="U258" s="4463"/>
      <c r="V258" s="4463"/>
      <c r="W258" s="4464"/>
      <c r="X258" s="2068"/>
      <c r="Y258" s="4413" t="s">
        <v>618</v>
      </c>
      <c r="Z258" s="2004"/>
    </row>
    <row r="259" spans="1:26" s="2029" customFormat="1" ht="13.5" customHeight="1">
      <c r="A259" s="4427"/>
      <c r="B259" s="381" t="s">
        <v>22</v>
      </c>
      <c r="C259" s="3618"/>
      <c r="D259" s="3619">
        <f>+D260</f>
        <v>52205837</v>
      </c>
      <c r="E259" s="3619">
        <f t="shared" ref="E259:X260" si="226">+E260</f>
        <v>0</v>
      </c>
      <c r="F259" s="3620">
        <f t="shared" si="226"/>
        <v>0</v>
      </c>
      <c r="G259" s="3620">
        <f t="shared" si="226"/>
        <v>0</v>
      </c>
      <c r="H259" s="3620">
        <f t="shared" si="226"/>
        <v>0</v>
      </c>
      <c r="I259" s="3621">
        <f t="shared" si="226"/>
        <v>0</v>
      </c>
      <c r="J259" s="3621">
        <f t="shared" si="226"/>
        <v>0</v>
      </c>
      <c r="K259" s="3621">
        <f t="shared" si="226"/>
        <v>4992196</v>
      </c>
      <c r="L259" s="3621">
        <f t="shared" si="226"/>
        <v>4899789</v>
      </c>
      <c r="M259" s="3619">
        <f t="shared" si="226"/>
        <v>15616935</v>
      </c>
      <c r="N259" s="3619">
        <f t="shared" si="226"/>
        <v>5724950</v>
      </c>
      <c r="O259" s="3619">
        <f t="shared" si="226"/>
        <v>6136915</v>
      </c>
      <c r="P259" s="3619">
        <f t="shared" si="226"/>
        <v>9205156</v>
      </c>
      <c r="Q259" s="3619">
        <f t="shared" si="226"/>
        <v>8835105</v>
      </c>
      <c r="R259" s="3619">
        <f t="shared" si="226"/>
        <v>7382305</v>
      </c>
      <c r="S259" s="3619">
        <f t="shared" si="226"/>
        <v>5029421</v>
      </c>
      <c r="T259" s="3680">
        <f t="shared" si="226"/>
        <v>0</v>
      </c>
      <c r="U259" s="3680">
        <f t="shared" si="226"/>
        <v>0</v>
      </c>
      <c r="V259" s="3680">
        <f t="shared" si="226"/>
        <v>0</v>
      </c>
      <c r="W259" s="3680">
        <f t="shared" si="226"/>
        <v>0</v>
      </c>
      <c r="X259" s="3681">
        <f t="shared" si="226"/>
        <v>30451987</v>
      </c>
      <c r="Y259" s="4451"/>
    </row>
    <row r="260" spans="1:26" s="2029" customFormat="1" ht="13.5" customHeight="1">
      <c r="A260" s="4427"/>
      <c r="B260" s="779" t="s">
        <v>36</v>
      </c>
      <c r="C260" s="4446" t="s">
        <v>214</v>
      </c>
      <c r="D260" s="3037">
        <f>+D261</f>
        <v>52205837</v>
      </c>
      <c r="E260" s="3037">
        <f t="shared" si="226"/>
        <v>0</v>
      </c>
      <c r="F260" s="3682">
        <f t="shared" si="226"/>
        <v>0</v>
      </c>
      <c r="G260" s="3682">
        <f t="shared" si="226"/>
        <v>0</v>
      </c>
      <c r="H260" s="3682">
        <f t="shared" si="226"/>
        <v>0</v>
      </c>
      <c r="I260" s="3683">
        <f t="shared" si="226"/>
        <v>0</v>
      </c>
      <c r="J260" s="3683">
        <f t="shared" si="226"/>
        <v>0</v>
      </c>
      <c r="K260" s="3683">
        <f t="shared" si="226"/>
        <v>4992196</v>
      </c>
      <c r="L260" s="3683">
        <f t="shared" si="226"/>
        <v>4899789</v>
      </c>
      <c r="M260" s="3037">
        <f t="shared" si="226"/>
        <v>15616935</v>
      </c>
      <c r="N260" s="3037">
        <f t="shared" si="226"/>
        <v>5724950</v>
      </c>
      <c r="O260" s="3037">
        <f t="shared" si="226"/>
        <v>6136915</v>
      </c>
      <c r="P260" s="3037">
        <f t="shared" si="226"/>
        <v>9205156</v>
      </c>
      <c r="Q260" s="3037">
        <f t="shared" si="226"/>
        <v>8835105</v>
      </c>
      <c r="R260" s="3641">
        <f t="shared" si="226"/>
        <v>7382305</v>
      </c>
      <c r="S260" s="3641">
        <f t="shared" si="226"/>
        <v>5029421</v>
      </c>
      <c r="T260" s="3684">
        <f t="shared" si="226"/>
        <v>0</v>
      </c>
      <c r="U260" s="3684">
        <f t="shared" si="226"/>
        <v>0</v>
      </c>
      <c r="V260" s="3684">
        <f t="shared" si="226"/>
        <v>0</v>
      </c>
      <c r="W260" s="3684">
        <f t="shared" si="226"/>
        <v>0</v>
      </c>
      <c r="X260" s="3685">
        <f t="shared" si="226"/>
        <v>30451987</v>
      </c>
      <c r="Y260" s="4451"/>
    </row>
    <row r="261" spans="1:26" s="2029" customFormat="1" ht="13.5" customHeight="1" thickBot="1">
      <c r="A261" s="4428"/>
      <c r="B261" s="2186" t="s">
        <v>24</v>
      </c>
      <c r="C261" s="4461"/>
      <c r="D261" s="1776">
        <f>M261+O261+P261+Q261+R261+S261+T261+U261+V261+W261</f>
        <v>52205837</v>
      </c>
      <c r="E261" s="2187">
        <v>0</v>
      </c>
      <c r="F261" s="2180"/>
      <c r="G261" s="2180"/>
      <c r="H261" s="2180"/>
      <c r="I261" s="2101">
        <v>0</v>
      </c>
      <c r="J261" s="2101">
        <f>1125478-1125478</f>
        <v>0</v>
      </c>
      <c r="K261" s="2101">
        <f>7028902-2036706</f>
        <v>4992196</v>
      </c>
      <c r="L261" s="2101">
        <f>8468756-1002327-2055288-511352</f>
        <v>4899789</v>
      </c>
      <c r="M261" s="800">
        <f>+E261+I261+J261+K261+L261+N261</f>
        <v>15616935</v>
      </c>
      <c r="N261" s="2187">
        <f>8580352-876446-1300000-678956</f>
        <v>5724950</v>
      </c>
      <c r="O261" s="2187">
        <f>9259840-3875840+85000+497000-1300000+1470915</f>
        <v>6136915</v>
      </c>
      <c r="P261" s="2187">
        <f>9445041-9445041+300000+130000+8775156</f>
        <v>9205156</v>
      </c>
      <c r="Q261" s="2187">
        <f>0+8835105</f>
        <v>8835105</v>
      </c>
      <c r="R261" s="2188">
        <f>0+7382305</f>
        <v>7382305</v>
      </c>
      <c r="S261" s="2188">
        <v>5029421</v>
      </c>
      <c r="T261" s="2189">
        <v>0</v>
      </c>
      <c r="U261" s="2189">
        <v>0</v>
      </c>
      <c r="V261" s="2189">
        <v>0</v>
      </c>
      <c r="W261" s="2189">
        <v>0</v>
      </c>
      <c r="X261" s="2182">
        <f>SUM(P261:W261)</f>
        <v>30451987</v>
      </c>
      <c r="Y261" s="4465"/>
    </row>
    <row r="262" spans="1:26" s="2029" customFormat="1" ht="54.75" customHeight="1">
      <c r="A262" s="4349" t="s">
        <v>81</v>
      </c>
      <c r="B262" s="771" t="s">
        <v>229</v>
      </c>
      <c r="C262" s="2175" t="s">
        <v>131</v>
      </c>
      <c r="D262" s="4462"/>
      <c r="E262" s="4463"/>
      <c r="F262" s="4463"/>
      <c r="G262" s="4463"/>
      <c r="H262" s="4463"/>
      <c r="I262" s="4463"/>
      <c r="J262" s="4463"/>
      <c r="K262" s="4463"/>
      <c r="L262" s="4463"/>
      <c r="M262" s="4463"/>
      <c r="N262" s="4463"/>
      <c r="O262" s="4463"/>
      <c r="P262" s="4463"/>
      <c r="Q262" s="4463"/>
      <c r="R262" s="4463"/>
      <c r="S262" s="4463"/>
      <c r="T262" s="4463"/>
      <c r="U262" s="4463"/>
      <c r="V262" s="4463"/>
      <c r="W262" s="4464"/>
      <c r="X262" s="2190"/>
      <c r="Y262" s="4458" t="s">
        <v>230</v>
      </c>
      <c r="Z262" s="2004"/>
    </row>
    <row r="263" spans="1:26" s="2029" customFormat="1" ht="13.5" customHeight="1">
      <c r="A263" s="4350"/>
      <c r="B263" s="381" t="s">
        <v>22</v>
      </c>
      <c r="C263" s="2191"/>
      <c r="D263" s="2039">
        <f>+D264</f>
        <v>633948</v>
      </c>
      <c r="E263" s="2039">
        <f t="shared" ref="E263:W263" si="227">+E264</f>
        <v>0</v>
      </c>
      <c r="F263" s="2040">
        <f t="shared" si="227"/>
        <v>0</v>
      </c>
      <c r="G263" s="2040">
        <f t="shared" si="227"/>
        <v>0</v>
      </c>
      <c r="H263" s="2040">
        <f t="shared" si="227"/>
        <v>0</v>
      </c>
      <c r="I263" s="2041">
        <f t="shared" si="227"/>
        <v>0</v>
      </c>
      <c r="J263" s="2041">
        <f t="shared" si="227"/>
        <v>0</v>
      </c>
      <c r="K263" s="2041">
        <f t="shared" si="227"/>
        <v>0</v>
      </c>
      <c r="L263" s="2041">
        <f t="shared" si="227"/>
        <v>0</v>
      </c>
      <c r="M263" s="2039">
        <f t="shared" si="227"/>
        <v>285474</v>
      </c>
      <c r="N263" s="2039">
        <f t="shared" si="227"/>
        <v>285474</v>
      </c>
      <c r="O263" s="2039">
        <f t="shared" si="227"/>
        <v>348474</v>
      </c>
      <c r="P263" s="2176">
        <f t="shared" si="227"/>
        <v>0</v>
      </c>
      <c r="Q263" s="2176">
        <f t="shared" si="227"/>
        <v>0</v>
      </c>
      <c r="R263" s="2176">
        <f t="shared" si="227"/>
        <v>0</v>
      </c>
      <c r="S263" s="2176">
        <f t="shared" si="227"/>
        <v>0</v>
      </c>
      <c r="T263" s="2176">
        <f t="shared" si="227"/>
        <v>0</v>
      </c>
      <c r="U263" s="2176">
        <f t="shared" si="227"/>
        <v>0</v>
      </c>
      <c r="V263" s="2176">
        <f t="shared" si="227"/>
        <v>0</v>
      </c>
      <c r="W263" s="2176">
        <f t="shared" si="227"/>
        <v>0</v>
      </c>
      <c r="X263" s="2184">
        <f>+X264</f>
        <v>0</v>
      </c>
      <c r="Y263" s="4459"/>
    </row>
    <row r="264" spans="1:26" s="2029" customFormat="1" ht="13.5" customHeight="1">
      <c r="A264" s="4350"/>
      <c r="B264" s="779" t="s">
        <v>36</v>
      </c>
      <c r="C264" s="4416" t="s">
        <v>231</v>
      </c>
      <c r="D264" s="2102">
        <f>+D265+D266</f>
        <v>633948</v>
      </c>
      <c r="E264" s="2102">
        <f t="shared" ref="E264:L264" si="228">+E266</f>
        <v>0</v>
      </c>
      <c r="F264" s="2103">
        <f t="shared" si="228"/>
        <v>0</v>
      </c>
      <c r="G264" s="2103">
        <f t="shared" si="228"/>
        <v>0</v>
      </c>
      <c r="H264" s="2103">
        <f t="shared" si="228"/>
        <v>0</v>
      </c>
      <c r="I264" s="2104">
        <f t="shared" si="228"/>
        <v>0</v>
      </c>
      <c r="J264" s="2104">
        <f t="shared" si="228"/>
        <v>0</v>
      </c>
      <c r="K264" s="2104">
        <f t="shared" si="228"/>
        <v>0</v>
      </c>
      <c r="L264" s="2104">
        <f t="shared" si="228"/>
        <v>0</v>
      </c>
      <c r="M264" s="2102">
        <f>+M265+M266</f>
        <v>285474</v>
      </c>
      <c r="N264" s="2102">
        <f>+N265+N266</f>
        <v>285474</v>
      </c>
      <c r="O264" s="2102">
        <f>+O265+O266</f>
        <v>348474</v>
      </c>
      <c r="P264" s="2192">
        <f t="shared" ref="P264:T264" si="229">+P265+P266</f>
        <v>0</v>
      </c>
      <c r="Q264" s="2192">
        <f t="shared" si="229"/>
        <v>0</v>
      </c>
      <c r="R264" s="2192">
        <f t="shared" si="229"/>
        <v>0</v>
      </c>
      <c r="S264" s="2192">
        <f t="shared" si="229"/>
        <v>0</v>
      </c>
      <c r="T264" s="2192">
        <f t="shared" si="229"/>
        <v>0</v>
      </c>
      <c r="U264" s="2192">
        <f t="shared" ref="U264:W264" si="230">+U265+U266</f>
        <v>0</v>
      </c>
      <c r="V264" s="2192">
        <f t="shared" si="230"/>
        <v>0</v>
      </c>
      <c r="W264" s="2192">
        <f t="shared" si="230"/>
        <v>0</v>
      </c>
      <c r="X264" s="2185">
        <f>+X265+X266</f>
        <v>0</v>
      </c>
      <c r="Y264" s="4459"/>
    </row>
    <row r="265" spans="1:26" s="2029" customFormat="1" ht="13.5" customHeight="1">
      <c r="A265" s="4350"/>
      <c r="B265" s="2193" t="s">
        <v>24</v>
      </c>
      <c r="C265" s="4417"/>
      <c r="D265" s="2074">
        <f t="shared" ref="D265:D266" si="231">M265+O265+P265+Q265+R265+S265+T265+U265+V265+W265</f>
        <v>286948</v>
      </c>
      <c r="E265" s="2194">
        <v>0</v>
      </c>
      <c r="F265" s="2195"/>
      <c r="G265" s="2195"/>
      <c r="H265" s="2195"/>
      <c r="I265" s="2196"/>
      <c r="J265" s="2196"/>
      <c r="K265" s="2196"/>
      <c r="L265" s="2196"/>
      <c r="M265" s="2049">
        <f t="shared" ref="M265:M266" si="232">+E265+I265+J265+K265+L265+N265</f>
        <v>85474</v>
      </c>
      <c r="N265" s="2194">
        <f>530000-201474-243052</f>
        <v>85474</v>
      </c>
      <c r="O265" s="2194">
        <f>281474-80000</f>
        <v>201474</v>
      </c>
      <c r="P265" s="2197">
        <v>0</v>
      </c>
      <c r="Q265" s="2197">
        <v>0</v>
      </c>
      <c r="R265" s="2197">
        <v>0</v>
      </c>
      <c r="S265" s="2198">
        <v>0</v>
      </c>
      <c r="T265" s="2198">
        <v>0</v>
      </c>
      <c r="U265" s="2197">
        <v>0</v>
      </c>
      <c r="V265" s="2198">
        <v>0</v>
      </c>
      <c r="W265" s="2198">
        <v>0</v>
      </c>
      <c r="X265" s="2016">
        <f>SUM(P265:T265)</f>
        <v>0</v>
      </c>
      <c r="Y265" s="4459"/>
    </row>
    <row r="266" spans="1:26" s="2029" customFormat="1" ht="13.5" customHeight="1">
      <c r="A266" s="4350"/>
      <c r="B266" s="1942" t="s">
        <v>26</v>
      </c>
      <c r="C266" s="4418"/>
      <c r="D266" s="2074">
        <f t="shared" si="231"/>
        <v>347000</v>
      </c>
      <c r="E266" s="2199">
        <v>0</v>
      </c>
      <c r="F266" s="2200"/>
      <c r="G266" s="2200"/>
      <c r="H266" s="2200"/>
      <c r="I266" s="2201">
        <v>0</v>
      </c>
      <c r="J266" s="2201">
        <f>1125478-1125478</f>
        <v>0</v>
      </c>
      <c r="K266" s="2201">
        <v>0</v>
      </c>
      <c r="L266" s="2201">
        <v>0</v>
      </c>
      <c r="M266" s="2049">
        <f t="shared" si="232"/>
        <v>200000</v>
      </c>
      <c r="N266" s="2199">
        <v>200000</v>
      </c>
      <c r="O266" s="2199">
        <f>200000-53000</f>
        <v>147000</v>
      </c>
      <c r="P266" s="2202">
        <v>0</v>
      </c>
      <c r="Q266" s="2202">
        <v>0</v>
      </c>
      <c r="R266" s="2202">
        <v>0</v>
      </c>
      <c r="S266" s="2202">
        <v>0</v>
      </c>
      <c r="T266" s="2202">
        <v>0</v>
      </c>
      <c r="U266" s="2202">
        <v>0</v>
      </c>
      <c r="V266" s="2202">
        <v>0</v>
      </c>
      <c r="W266" s="2202">
        <v>0</v>
      </c>
      <c r="X266" s="2016">
        <f>SUM(P266:W266)</f>
        <v>0</v>
      </c>
      <c r="Y266" s="4459"/>
    </row>
    <row r="267" spans="1:26" s="1942" customFormat="1" ht="13.5" customHeight="1">
      <c r="A267" s="4350"/>
      <c r="B267" s="381" t="s">
        <v>34</v>
      </c>
      <c r="C267" s="2191"/>
      <c r="D267" s="2039">
        <f>+D268</f>
        <v>347000</v>
      </c>
      <c r="E267" s="2039">
        <f t="shared" ref="E267:W267" si="233">+E268</f>
        <v>0</v>
      </c>
      <c r="F267" s="2040">
        <f t="shared" si="233"/>
        <v>0</v>
      </c>
      <c r="G267" s="2040">
        <f t="shared" si="233"/>
        <v>0</v>
      </c>
      <c r="H267" s="2040">
        <f t="shared" si="233"/>
        <v>0</v>
      </c>
      <c r="I267" s="2041">
        <f t="shared" si="233"/>
        <v>0</v>
      </c>
      <c r="J267" s="2041">
        <f t="shared" si="233"/>
        <v>0</v>
      </c>
      <c r="K267" s="2041">
        <f t="shared" si="233"/>
        <v>0</v>
      </c>
      <c r="L267" s="2041">
        <f t="shared" si="233"/>
        <v>0</v>
      </c>
      <c r="M267" s="2039">
        <f t="shared" si="233"/>
        <v>200000</v>
      </c>
      <c r="N267" s="2039">
        <f t="shared" si="233"/>
        <v>200000</v>
      </c>
      <c r="O267" s="2039">
        <f t="shared" si="233"/>
        <v>147000</v>
      </c>
      <c r="P267" s="2176">
        <f t="shared" si="233"/>
        <v>0</v>
      </c>
      <c r="Q267" s="2176">
        <f t="shared" si="233"/>
        <v>0</v>
      </c>
      <c r="R267" s="2176">
        <f t="shared" si="233"/>
        <v>0</v>
      </c>
      <c r="S267" s="2203">
        <f t="shared" si="233"/>
        <v>0</v>
      </c>
      <c r="T267" s="2176">
        <f t="shared" si="233"/>
        <v>0</v>
      </c>
      <c r="U267" s="2176">
        <f t="shared" si="233"/>
        <v>0</v>
      </c>
      <c r="V267" s="2203">
        <f t="shared" si="233"/>
        <v>0</v>
      </c>
      <c r="W267" s="2176">
        <f t="shared" si="233"/>
        <v>0</v>
      </c>
      <c r="X267" s="4419" t="s">
        <v>35</v>
      </c>
      <c r="Y267" s="4459"/>
    </row>
    <row r="268" spans="1:26" s="1942" customFormat="1" ht="13.5" customHeight="1">
      <c r="A268" s="4117"/>
      <c r="B268" s="779" t="s">
        <v>36</v>
      </c>
      <c r="C268" s="4416" t="s">
        <v>232</v>
      </c>
      <c r="D268" s="2102">
        <f t="shared" ref="D268:W268" si="234">+D269</f>
        <v>347000</v>
      </c>
      <c r="E268" s="2102">
        <f t="shared" si="234"/>
        <v>0</v>
      </c>
      <c r="F268" s="2103">
        <f t="shared" si="234"/>
        <v>0</v>
      </c>
      <c r="G268" s="2103">
        <f t="shared" si="234"/>
        <v>0</v>
      </c>
      <c r="H268" s="2103">
        <f t="shared" si="234"/>
        <v>0</v>
      </c>
      <c r="I268" s="2104">
        <f t="shared" si="234"/>
        <v>0</v>
      </c>
      <c r="J268" s="2104">
        <f t="shared" si="234"/>
        <v>0</v>
      </c>
      <c r="K268" s="2104">
        <f t="shared" si="234"/>
        <v>0</v>
      </c>
      <c r="L268" s="2104">
        <f t="shared" si="234"/>
        <v>0</v>
      </c>
      <c r="M268" s="2102">
        <f t="shared" si="234"/>
        <v>200000</v>
      </c>
      <c r="N268" s="2102">
        <f t="shared" si="234"/>
        <v>200000</v>
      </c>
      <c r="O268" s="2102">
        <f t="shared" si="234"/>
        <v>147000</v>
      </c>
      <c r="P268" s="2192">
        <f t="shared" si="234"/>
        <v>0</v>
      </c>
      <c r="Q268" s="2192">
        <f t="shared" si="234"/>
        <v>0</v>
      </c>
      <c r="R268" s="2192">
        <f t="shared" si="234"/>
        <v>0</v>
      </c>
      <c r="S268" s="2204">
        <f t="shared" si="234"/>
        <v>0</v>
      </c>
      <c r="T268" s="2205">
        <f t="shared" si="234"/>
        <v>0</v>
      </c>
      <c r="U268" s="2192">
        <f t="shared" si="234"/>
        <v>0</v>
      </c>
      <c r="V268" s="2204">
        <f t="shared" si="234"/>
        <v>0</v>
      </c>
      <c r="W268" s="2205">
        <f t="shared" si="234"/>
        <v>0</v>
      </c>
      <c r="X268" s="4379"/>
      <c r="Y268" s="4459"/>
    </row>
    <row r="269" spans="1:26" s="1942" customFormat="1" ht="12.75" customHeight="1" thickBot="1">
      <c r="A269" s="4118"/>
      <c r="B269" s="1771" t="s">
        <v>26</v>
      </c>
      <c r="C269" s="4461"/>
      <c r="D269" s="1776">
        <f>M269+O269+P269+Q269+R269+S269+T269+U269+V269+W269</f>
        <v>347000</v>
      </c>
      <c r="E269" s="2206">
        <v>0</v>
      </c>
      <c r="F269" s="2207"/>
      <c r="G269" s="2207"/>
      <c r="H269" s="2207"/>
      <c r="I269" s="2208">
        <v>0</v>
      </c>
      <c r="J269" s="2208">
        <f>6315000-2528100-3749850-37050</f>
        <v>0</v>
      </c>
      <c r="K269" s="2208">
        <v>0</v>
      </c>
      <c r="L269" s="2208">
        <v>0</v>
      </c>
      <c r="M269" s="800">
        <f>+E269+I269+J269+K269+L269+N269</f>
        <v>200000</v>
      </c>
      <c r="N269" s="2206">
        <v>200000</v>
      </c>
      <c r="O269" s="2206">
        <f>200000-53000</f>
        <v>147000</v>
      </c>
      <c r="P269" s="2209">
        <v>0</v>
      </c>
      <c r="Q269" s="2209">
        <v>0</v>
      </c>
      <c r="R269" s="2209">
        <v>0</v>
      </c>
      <c r="S269" s="2210">
        <v>0</v>
      </c>
      <c r="T269" s="2210">
        <v>0</v>
      </c>
      <c r="U269" s="2209">
        <v>0</v>
      </c>
      <c r="V269" s="2210">
        <v>0</v>
      </c>
      <c r="W269" s="2210">
        <v>0</v>
      </c>
      <c r="X269" s="4380"/>
      <c r="Y269" s="4460"/>
    </row>
    <row r="270" spans="1:26">
      <c r="A270" s="4450"/>
      <c r="B270" s="4450"/>
      <c r="C270" s="4450"/>
      <c r="D270" s="4450"/>
      <c r="E270" s="4450"/>
      <c r="F270" s="4450"/>
      <c r="G270" s="4450"/>
      <c r="H270" s="4450"/>
      <c r="I270" s="4450"/>
      <c r="J270" s="4450"/>
      <c r="K270" s="4450"/>
      <c r="L270" s="4450"/>
      <c r="M270" s="4450"/>
      <c r="N270" s="4450"/>
      <c r="O270" s="4450"/>
      <c r="P270" s="4450"/>
      <c r="Q270" s="4450"/>
      <c r="R270" s="4450"/>
      <c r="S270" s="4450"/>
      <c r="T270" s="4450"/>
      <c r="U270" s="4450"/>
      <c r="V270" s="4450"/>
      <c r="W270" s="4450"/>
      <c r="X270" s="4450"/>
      <c r="Y270" s="4450"/>
    </row>
    <row r="271" spans="1:26">
      <c r="A271" s="2211"/>
      <c r="E271" s="2212"/>
      <c r="F271" s="1977"/>
    </row>
    <row r="272" spans="1:26">
      <c r="B272" s="1029" t="s">
        <v>56</v>
      </c>
      <c r="E272" s="2212"/>
      <c r="F272" s="1977"/>
    </row>
    <row r="273" spans="2:23">
      <c r="B273" s="4449" t="s">
        <v>475</v>
      </c>
      <c r="C273" s="1976" t="s">
        <v>131</v>
      </c>
      <c r="D273" s="1983">
        <f>D134-O134-P134-Q134-R134-S134-T134</f>
        <v>67589072</v>
      </c>
      <c r="E273" s="2212"/>
      <c r="F273" s="1977"/>
      <c r="M273" s="1976" t="s">
        <v>131</v>
      </c>
    </row>
    <row r="274" spans="2:23">
      <c r="B274" s="4449"/>
      <c r="C274" s="1976" t="s">
        <v>98</v>
      </c>
      <c r="D274" s="1983">
        <f>D152-O152-P152-Q152-R152-S152-T152</f>
        <v>501075</v>
      </c>
      <c r="E274" s="2212"/>
      <c r="F274" s="1977"/>
      <c r="M274" s="1976" t="s">
        <v>98</v>
      </c>
    </row>
    <row r="275" spans="2:23">
      <c r="B275" s="4449"/>
      <c r="D275" s="2214">
        <f>D273+D274</f>
        <v>68090147</v>
      </c>
      <c r="E275" s="2212"/>
      <c r="F275" s="1977"/>
    </row>
    <row r="276" spans="2:23">
      <c r="E276" s="2212"/>
      <c r="F276" s="1977"/>
    </row>
    <row r="277" spans="2:23">
      <c r="B277" s="2215" t="s">
        <v>532</v>
      </c>
      <c r="C277" s="1976" t="s">
        <v>131</v>
      </c>
      <c r="D277" s="1983">
        <f>+D125-O125-P125-Q125-R125-S125-T125</f>
        <v>67589072</v>
      </c>
      <c r="E277" s="2212"/>
      <c r="F277" s="1977"/>
    </row>
    <row r="278" spans="2:23">
      <c r="C278" s="1976" t="s">
        <v>98</v>
      </c>
      <c r="D278" s="1983">
        <f>D143-O143-P143-Q143-R143-S143-T143</f>
        <v>501075</v>
      </c>
      <c r="E278" s="2212"/>
      <c r="F278" s="1977"/>
    </row>
    <row r="279" spans="2:23">
      <c r="D279" s="2214">
        <f>D277+D278</f>
        <v>68090147</v>
      </c>
      <c r="E279" s="2212"/>
      <c r="F279" s="1977"/>
    </row>
    <row r="280" spans="2:23">
      <c r="E280" s="2212"/>
      <c r="F280" s="1977"/>
    </row>
    <row r="281" spans="2:23">
      <c r="B281" s="2215" t="s">
        <v>477</v>
      </c>
      <c r="D281" s="2214">
        <f>+D116-O116-P116-Q116-R116-S116-T116</f>
        <v>9839112</v>
      </c>
      <c r="E281" s="2212"/>
      <c r="F281" s="1977"/>
    </row>
    <row r="282" spans="2:23">
      <c r="E282" s="2212"/>
      <c r="F282" s="1977"/>
    </row>
    <row r="283" spans="2:23">
      <c r="B283" s="1976" t="s">
        <v>476</v>
      </c>
      <c r="D283" s="2214">
        <f>D279+D281</f>
        <v>77929259</v>
      </c>
      <c r="E283" s="2212"/>
      <c r="F283" s="1977"/>
    </row>
    <row r="284" spans="2:23">
      <c r="E284" s="2212"/>
      <c r="F284" s="1977"/>
    </row>
    <row r="285" spans="2:23">
      <c r="B285" s="1976" t="s">
        <v>524</v>
      </c>
      <c r="D285" s="1983">
        <f>+D116+D126</f>
        <v>212743776</v>
      </c>
      <c r="E285" s="2212"/>
      <c r="F285" s="1977"/>
      <c r="M285" s="1983">
        <f>+M116+M126</f>
        <v>0</v>
      </c>
      <c r="O285" s="1983">
        <f t="shared" ref="O285:W285" si="235">+O116+O126</f>
        <v>95653</v>
      </c>
      <c r="P285" s="1983">
        <f t="shared" si="235"/>
        <v>27447835</v>
      </c>
      <c r="Q285" s="1983">
        <f t="shared" si="235"/>
        <v>27481152</v>
      </c>
      <c r="R285" s="1983">
        <f t="shared" si="235"/>
        <v>27590960</v>
      </c>
      <c r="S285" s="1983">
        <f t="shared" si="235"/>
        <v>26171761</v>
      </c>
      <c r="T285" s="1983">
        <f t="shared" si="235"/>
        <v>26528231</v>
      </c>
      <c r="U285" s="1983">
        <f t="shared" si="235"/>
        <v>26891833</v>
      </c>
      <c r="V285" s="1983">
        <f t="shared" si="235"/>
        <v>25079037</v>
      </c>
      <c r="W285" s="1983">
        <f t="shared" si="235"/>
        <v>25457314</v>
      </c>
    </row>
    <row r="286" spans="2:23">
      <c r="B286" s="1976" t="s">
        <v>525</v>
      </c>
      <c r="D286" s="1983">
        <f>+D144</f>
        <v>1536967</v>
      </c>
      <c r="E286" s="2212"/>
      <c r="F286" s="1977"/>
      <c r="M286" s="1983">
        <f t="shared" ref="M286:W286" si="236">+M144</f>
        <v>0</v>
      </c>
      <c r="N286" s="1983">
        <f t="shared" si="236"/>
        <v>0</v>
      </c>
      <c r="O286" s="1983">
        <f t="shared" si="236"/>
        <v>0</v>
      </c>
      <c r="P286" s="1983">
        <f t="shared" si="236"/>
        <v>361842</v>
      </c>
      <c r="Q286" s="1983">
        <f t="shared" si="236"/>
        <v>170000</v>
      </c>
      <c r="R286" s="1983">
        <f t="shared" si="236"/>
        <v>170000</v>
      </c>
      <c r="S286" s="1983">
        <f t="shared" si="236"/>
        <v>167025</v>
      </c>
      <c r="T286" s="1983">
        <f t="shared" si="236"/>
        <v>167025</v>
      </c>
      <c r="U286" s="1983">
        <f t="shared" si="236"/>
        <v>167025</v>
      </c>
      <c r="V286" s="1983">
        <f t="shared" si="236"/>
        <v>167025</v>
      </c>
      <c r="W286" s="1983">
        <f t="shared" si="236"/>
        <v>167025</v>
      </c>
    </row>
    <row r="287" spans="2:23">
      <c r="E287" s="2212"/>
      <c r="F287" s="1977"/>
    </row>
    <row r="288" spans="2:23">
      <c r="B288" s="1976" t="s">
        <v>480</v>
      </c>
      <c r="D288" s="1983">
        <f>+D134+'Tab. 6B Polit społ i rozwój prz'!D204+D152</f>
        <v>247298062</v>
      </c>
      <c r="E288" s="2212"/>
      <c r="F288" s="1977"/>
      <c r="O288" s="1983">
        <f>+O134+'Tab. 6B Polit społ i rozwój prz'!O204+O152</f>
        <v>0</v>
      </c>
      <c r="P288" s="1983">
        <f>+P134+'Tab. 6B Polit społ i rozwój prz'!P204+P152</f>
        <v>29556200</v>
      </c>
      <c r="Q288" s="1983">
        <f>+Q134+'Tab. 6B Polit społ i rozwój prz'!Q204+Q152</f>
        <v>33747400</v>
      </c>
      <c r="R288" s="1983">
        <f>+R134+'Tab. 6B Polit społ i rozwój prz'!R204+R152</f>
        <v>32372200</v>
      </c>
      <c r="S288" s="1983">
        <f>+S134+'Tab. 6B Polit społ i rozwój prz'!S204+S152</f>
        <v>30460200</v>
      </c>
      <c r="T288" s="1983">
        <f>+T134+'Tab. 6B Polit społ i rozwój prz'!T204+T152</f>
        <v>30004248</v>
      </c>
      <c r="U288" s="1983">
        <f>+U134+'Tab. 6B Polit społ i rozwój prz'!U204+U152</f>
        <v>30574519</v>
      </c>
      <c r="V288" s="1983">
        <f>+V134+'Tab. 6B Polit społ i rozwój prz'!V204+V152</f>
        <v>30240549</v>
      </c>
      <c r="W288" s="1983">
        <f>+W134+'Tab. 6B Polit społ i rozwój prz'!W204+W152</f>
        <v>30342746</v>
      </c>
    </row>
    <row r="289" spans="2:23">
      <c r="B289" s="1976" t="s">
        <v>485</v>
      </c>
      <c r="D289" s="1983">
        <f>+D114+D138+'Tab. 6B Polit społ i rozwój prz'!D198</f>
        <v>294468308</v>
      </c>
      <c r="E289" s="2212"/>
      <c r="F289" s="1977"/>
      <c r="O289" s="1983">
        <f>+O114+O138+'Tab. 6B Polit społ i rozwój prz'!O198</f>
        <v>400847</v>
      </c>
      <c r="P289" s="1983">
        <f>+P114+P138+'Tab. 6B Polit społ i rozwój prz'!P198</f>
        <v>38237764</v>
      </c>
      <c r="Q289" s="1983">
        <f>+Q114+Q138+'Tab. 6B Polit społ i rozwój prz'!Q198</f>
        <v>37927344</v>
      </c>
      <c r="R289" s="1983">
        <f>+R114+R138+'Tab. 6B Polit społ i rozwój prz'!R198</f>
        <v>38060708</v>
      </c>
      <c r="S289" s="1983">
        <f>+S114+S138+'Tab. 6B Polit społ i rozwój prz'!S198</f>
        <v>36491534</v>
      </c>
      <c r="T289" s="1983">
        <f>+T114+T138+'Tab. 6B Polit społ i rozwój prz'!T198</f>
        <v>36868003</v>
      </c>
      <c r="U289" s="1983">
        <f>+U114+U138+'Tab. 6B Polit społ i rozwój prz'!U198</f>
        <v>37127605</v>
      </c>
      <c r="V289" s="1983">
        <f>+V114+V138+'Tab. 6B Polit społ i rozwój prz'!V198</f>
        <v>34594809</v>
      </c>
      <c r="W289" s="1983">
        <f>+W114+W138+'Tab. 6B Polit społ i rozwój prz'!W198</f>
        <v>34759694</v>
      </c>
    </row>
    <row r="290" spans="2:23">
      <c r="E290" s="2212"/>
      <c r="F290" s="1977"/>
    </row>
    <row r="291" spans="2:23">
      <c r="E291" s="2212"/>
      <c r="F291" s="1977"/>
    </row>
    <row r="292" spans="2:23">
      <c r="E292" s="2212"/>
      <c r="F292" s="1977"/>
    </row>
    <row r="293" spans="2:23">
      <c r="B293" s="1976" t="s">
        <v>487</v>
      </c>
      <c r="D293" s="1983">
        <f>+D116+D128+D129+D130+D131+D132+D133</f>
        <v>212743776</v>
      </c>
      <c r="E293" s="2212"/>
      <c r="F293" s="1977"/>
    </row>
    <row r="294" spans="2:23">
      <c r="B294" s="1976" t="s">
        <v>488</v>
      </c>
      <c r="D294" s="1983">
        <f>+D146+D147+D150+D151</f>
        <v>1536967</v>
      </c>
      <c r="E294" s="2212"/>
      <c r="F294" s="1977"/>
    </row>
    <row r="295" spans="2:23">
      <c r="E295" s="2212"/>
      <c r="F295" s="1977"/>
    </row>
    <row r="296" spans="2:23">
      <c r="E296" s="2212"/>
      <c r="F296" s="1977"/>
    </row>
    <row r="297" spans="2:23">
      <c r="B297" s="1976" t="s">
        <v>590</v>
      </c>
      <c r="C297" s="1976" t="s">
        <v>588</v>
      </c>
      <c r="D297" s="1983">
        <f>+D228+D194</f>
        <v>17020800</v>
      </c>
      <c r="E297" s="2212"/>
      <c r="F297" s="1977"/>
      <c r="P297" s="1983">
        <f t="shared" ref="P297:V297" si="237">+P228+P194</f>
        <v>964000</v>
      </c>
      <c r="Q297" s="1983">
        <f t="shared" si="237"/>
        <v>6627800</v>
      </c>
      <c r="R297" s="1983">
        <f t="shared" si="237"/>
        <v>8003000</v>
      </c>
      <c r="S297" s="1983">
        <f t="shared" si="237"/>
        <v>915000</v>
      </c>
      <c r="T297" s="1983">
        <f t="shared" si="237"/>
        <v>511000</v>
      </c>
      <c r="U297" s="1983">
        <f t="shared" si="237"/>
        <v>0</v>
      </c>
      <c r="V297" s="1983">
        <f t="shared" si="237"/>
        <v>0</v>
      </c>
    </row>
    <row r="298" spans="2:23">
      <c r="C298" s="1976" t="s">
        <v>589</v>
      </c>
      <c r="D298" s="1983">
        <f>+D186+D213</f>
        <v>2979200</v>
      </c>
      <c r="E298" s="2212"/>
      <c r="F298" s="1977"/>
      <c r="P298" s="1983">
        <f t="shared" ref="P298:V298" si="238">+P186+P213</f>
        <v>479800</v>
      </c>
      <c r="Q298" s="1983">
        <f t="shared" si="238"/>
        <v>624800</v>
      </c>
      <c r="R298" s="1983">
        <f t="shared" si="238"/>
        <v>624800</v>
      </c>
      <c r="S298" s="1983">
        <f t="shared" si="238"/>
        <v>624800</v>
      </c>
      <c r="T298" s="1983">
        <f t="shared" si="238"/>
        <v>625000</v>
      </c>
      <c r="U298" s="1983">
        <f t="shared" si="238"/>
        <v>0</v>
      </c>
      <c r="V298" s="1983">
        <f t="shared" si="238"/>
        <v>0</v>
      </c>
    </row>
    <row r="299" spans="2:23">
      <c r="D299" s="1983">
        <f>SUM(D297:D298)</f>
        <v>20000000</v>
      </c>
      <c r="E299" s="1983">
        <f t="shared" ref="E299:V299" si="239">SUM(E297:E298)</f>
        <v>0</v>
      </c>
      <c r="F299" s="1983">
        <f t="shared" si="239"/>
        <v>0</v>
      </c>
      <c r="G299" s="1983">
        <f t="shared" si="239"/>
        <v>0</v>
      </c>
      <c r="H299" s="1983">
        <f t="shared" si="239"/>
        <v>0</v>
      </c>
      <c r="I299" s="1983">
        <f t="shared" si="239"/>
        <v>0</v>
      </c>
      <c r="J299" s="1983">
        <f t="shared" si="239"/>
        <v>0</v>
      </c>
      <c r="K299" s="1983">
        <f t="shared" si="239"/>
        <v>0</v>
      </c>
      <c r="L299" s="1983">
        <f t="shared" si="239"/>
        <v>0</v>
      </c>
      <c r="M299" s="1983">
        <f t="shared" si="239"/>
        <v>0</v>
      </c>
      <c r="N299" s="1983">
        <f t="shared" si="239"/>
        <v>0</v>
      </c>
      <c r="O299" s="1983">
        <f t="shared" si="239"/>
        <v>0</v>
      </c>
      <c r="P299" s="1983">
        <f t="shared" si="239"/>
        <v>1443800</v>
      </c>
      <c r="Q299" s="1983">
        <f t="shared" si="239"/>
        <v>7252600</v>
      </c>
      <c r="R299" s="1983">
        <f t="shared" si="239"/>
        <v>8627800</v>
      </c>
      <c r="S299" s="1983">
        <f t="shared" si="239"/>
        <v>1539800</v>
      </c>
      <c r="T299" s="1983">
        <f t="shared" si="239"/>
        <v>1136000</v>
      </c>
      <c r="U299" s="1983">
        <f t="shared" si="239"/>
        <v>0</v>
      </c>
      <c r="V299" s="1983">
        <f t="shared" si="239"/>
        <v>0</v>
      </c>
    </row>
    <row r="300" spans="2:23">
      <c r="B300" s="1976" t="s">
        <v>590</v>
      </c>
      <c r="E300" s="2212"/>
      <c r="F300" s="1977"/>
    </row>
    <row r="301" spans="2:23">
      <c r="B301" s="1976" t="s">
        <v>612</v>
      </c>
      <c r="D301" s="1983">
        <f>+D174+D204</f>
        <v>6569550</v>
      </c>
      <c r="E301" s="2212"/>
      <c r="F301" s="1977"/>
      <c r="P301" s="1983">
        <f t="shared" ref="P301:W301" si="240">+P174+P204</f>
        <v>705070</v>
      </c>
      <c r="Q301" s="1983">
        <f t="shared" si="240"/>
        <v>2149190</v>
      </c>
      <c r="R301" s="1983">
        <f t="shared" si="240"/>
        <v>2465490</v>
      </c>
      <c r="S301" s="1983">
        <f t="shared" si="240"/>
        <v>624800</v>
      </c>
      <c r="T301" s="1983">
        <f t="shared" si="240"/>
        <v>625000</v>
      </c>
      <c r="U301" s="1983">
        <f t="shared" si="240"/>
        <v>0</v>
      </c>
      <c r="V301" s="1983">
        <f t="shared" si="240"/>
        <v>0</v>
      </c>
      <c r="W301" s="1983">
        <f t="shared" si="240"/>
        <v>0</v>
      </c>
    </row>
    <row r="302" spans="2:23">
      <c r="B302" s="1976" t="s">
        <v>613</v>
      </c>
      <c r="D302" s="1983">
        <f>+D188+D215</f>
        <v>82820470</v>
      </c>
      <c r="E302" s="2212"/>
      <c r="F302" s="1977"/>
      <c r="O302" s="1983">
        <f t="shared" ref="O302:W302" si="241">+O188+O215</f>
        <v>0</v>
      </c>
      <c r="P302" s="1983">
        <f t="shared" si="241"/>
        <v>965300</v>
      </c>
      <c r="Q302" s="1983">
        <f t="shared" si="241"/>
        <v>12399700</v>
      </c>
      <c r="R302" s="1983">
        <f t="shared" si="241"/>
        <v>21130970</v>
      </c>
      <c r="S302" s="1983">
        <f t="shared" si="241"/>
        <v>33993800</v>
      </c>
      <c r="T302" s="1983">
        <f t="shared" si="241"/>
        <v>14330700</v>
      </c>
      <c r="U302" s="1983">
        <f t="shared" si="241"/>
        <v>0</v>
      </c>
      <c r="V302" s="1983">
        <f t="shared" si="241"/>
        <v>0</v>
      </c>
      <c r="W302" s="1983">
        <f t="shared" si="241"/>
        <v>0</v>
      </c>
    </row>
    <row r="303" spans="2:23">
      <c r="E303" s="2212"/>
      <c r="F303" s="1977"/>
    </row>
    <row r="304" spans="2:23">
      <c r="E304" s="2212"/>
      <c r="F304" s="1977"/>
    </row>
    <row r="305" spans="5:6">
      <c r="E305" s="2212"/>
      <c r="F305" s="1977"/>
    </row>
    <row r="306" spans="5:6">
      <c r="E306" s="2212"/>
      <c r="F306" s="1977"/>
    </row>
    <row r="307" spans="5:6">
      <c r="E307" s="2212"/>
      <c r="F307" s="1977"/>
    </row>
    <row r="308" spans="5:6">
      <c r="E308" s="2212"/>
      <c r="F308" s="1977"/>
    </row>
    <row r="309" spans="5:6">
      <c r="E309" s="2212"/>
      <c r="F309" s="1977"/>
    </row>
    <row r="310" spans="5:6">
      <c r="E310" s="2212"/>
      <c r="F310" s="1977"/>
    </row>
    <row r="311" spans="5:6">
      <c r="E311" s="2212"/>
      <c r="F311" s="1977"/>
    </row>
    <row r="312" spans="5:6">
      <c r="E312" s="2212"/>
      <c r="F312" s="1977"/>
    </row>
    <row r="313" spans="5:6">
      <c r="E313" s="2212"/>
      <c r="F313" s="1977"/>
    </row>
    <row r="314" spans="5:6">
      <c r="E314" s="2212"/>
      <c r="F314" s="1977"/>
    </row>
    <row r="315" spans="5:6">
      <c r="E315" s="2212"/>
      <c r="F315" s="1977"/>
    </row>
    <row r="316" spans="5:6">
      <c r="E316" s="2212"/>
      <c r="F316" s="1977"/>
    </row>
    <row r="317" spans="5:6">
      <c r="E317" s="2212"/>
      <c r="F317" s="1977"/>
    </row>
    <row r="318" spans="5:6">
      <c r="E318" s="2212"/>
      <c r="F318" s="1977"/>
    </row>
    <row r="319" spans="5:6">
      <c r="E319" s="2212"/>
      <c r="F319" s="1977"/>
    </row>
    <row r="320" spans="5:6">
      <c r="E320" s="2212"/>
      <c r="F320" s="1977"/>
    </row>
    <row r="321" spans="5:6">
      <c r="E321" s="2212"/>
      <c r="F321" s="1977"/>
    </row>
    <row r="322" spans="5:6">
      <c r="E322" s="2212"/>
      <c r="F322" s="1977"/>
    </row>
    <row r="323" spans="5:6">
      <c r="E323" s="2212"/>
      <c r="F323" s="1977"/>
    </row>
    <row r="324" spans="5:6">
      <c r="E324" s="2212"/>
      <c r="F324" s="1977"/>
    </row>
    <row r="325" spans="5:6">
      <c r="E325" s="2212"/>
      <c r="F325" s="1977"/>
    </row>
    <row r="326" spans="5:6">
      <c r="E326" s="2212"/>
      <c r="F326" s="1977"/>
    </row>
    <row r="327" spans="5:6">
      <c r="E327" s="2212"/>
      <c r="F327" s="1977"/>
    </row>
    <row r="328" spans="5:6">
      <c r="E328" s="2212"/>
      <c r="F328" s="1977"/>
    </row>
    <row r="329" spans="5:6">
      <c r="E329" s="2212"/>
      <c r="F329" s="1977"/>
    </row>
    <row r="330" spans="5:6">
      <c r="E330" s="2212"/>
      <c r="F330" s="1977"/>
    </row>
    <row r="331" spans="5:6">
      <c r="E331" s="2212"/>
      <c r="F331" s="1977"/>
    </row>
    <row r="332" spans="5:6">
      <c r="E332" s="2212"/>
      <c r="F332" s="1977"/>
    </row>
    <row r="333" spans="5:6">
      <c r="E333" s="2212"/>
      <c r="F333" s="1977"/>
    </row>
    <row r="334" spans="5:6">
      <c r="E334" s="2212"/>
      <c r="F334" s="1977"/>
    </row>
    <row r="335" spans="5:6">
      <c r="E335" s="2212"/>
      <c r="F335" s="1977"/>
    </row>
    <row r="336" spans="5:6">
      <c r="E336" s="2212"/>
      <c r="F336" s="1977"/>
    </row>
    <row r="337" spans="5:6">
      <c r="E337" s="2212"/>
      <c r="F337" s="1977"/>
    </row>
    <row r="338" spans="5:6">
      <c r="E338" s="2212"/>
      <c r="F338" s="1977"/>
    </row>
    <row r="339" spans="5:6">
      <c r="E339" s="2212"/>
      <c r="F339" s="1977"/>
    </row>
    <row r="340" spans="5:6">
      <c r="E340" s="2212"/>
      <c r="F340" s="1977"/>
    </row>
    <row r="341" spans="5:6">
      <c r="E341" s="2212"/>
      <c r="F341" s="1977"/>
    </row>
    <row r="342" spans="5:6">
      <c r="E342" s="2212"/>
      <c r="F342" s="1977"/>
    </row>
    <row r="343" spans="5:6">
      <c r="E343" s="2212"/>
      <c r="F343" s="1977"/>
    </row>
    <row r="344" spans="5:6">
      <c r="E344" s="2212"/>
      <c r="F344" s="1977"/>
    </row>
    <row r="345" spans="5:6">
      <c r="E345" s="2212"/>
      <c r="F345" s="1977"/>
    </row>
    <row r="346" spans="5:6">
      <c r="E346" s="2212"/>
      <c r="F346" s="1977"/>
    </row>
    <row r="347" spans="5:6">
      <c r="E347" s="2212"/>
      <c r="F347" s="1977"/>
    </row>
    <row r="348" spans="5:6">
      <c r="E348" s="2212"/>
      <c r="F348" s="1977"/>
    </row>
    <row r="349" spans="5:6">
      <c r="E349" s="2212"/>
      <c r="F349" s="1977"/>
    </row>
    <row r="350" spans="5:6">
      <c r="E350" s="2212"/>
      <c r="F350" s="1977"/>
    </row>
    <row r="351" spans="5:6">
      <c r="E351" s="2212"/>
      <c r="F351" s="1977"/>
    </row>
    <row r="352" spans="5:6">
      <c r="E352" s="2212"/>
      <c r="F352" s="1977"/>
    </row>
    <row r="353" spans="5:6">
      <c r="E353" s="2212"/>
      <c r="F353" s="1977"/>
    </row>
    <row r="354" spans="5:6">
      <c r="E354" s="2212"/>
      <c r="F354" s="1977"/>
    </row>
    <row r="355" spans="5:6">
      <c r="E355" s="2212"/>
      <c r="F355" s="1977"/>
    </row>
    <row r="356" spans="5:6">
      <c r="E356" s="2212"/>
      <c r="F356" s="1977"/>
    </row>
    <row r="357" spans="5:6">
      <c r="E357" s="2212"/>
      <c r="F357" s="1977"/>
    </row>
    <row r="358" spans="5:6">
      <c r="E358" s="2212"/>
      <c r="F358" s="1977"/>
    </row>
    <row r="359" spans="5:6">
      <c r="E359" s="2212"/>
      <c r="F359" s="1977"/>
    </row>
    <row r="360" spans="5:6">
      <c r="E360" s="2212"/>
      <c r="F360" s="1977"/>
    </row>
    <row r="361" spans="5:6">
      <c r="E361" s="2212"/>
      <c r="F361" s="1977"/>
    </row>
    <row r="362" spans="5:6">
      <c r="E362" s="2212"/>
      <c r="F362" s="1977"/>
    </row>
    <row r="363" spans="5:6">
      <c r="E363" s="2212"/>
      <c r="F363" s="1977"/>
    </row>
    <row r="364" spans="5:6">
      <c r="E364" s="2212"/>
      <c r="F364" s="1977"/>
    </row>
    <row r="365" spans="5:6">
      <c r="E365" s="2212"/>
      <c r="F365" s="1977"/>
    </row>
    <row r="366" spans="5:6">
      <c r="E366" s="2212"/>
      <c r="F366" s="1977"/>
    </row>
    <row r="367" spans="5:6">
      <c r="E367" s="2212"/>
      <c r="F367" s="1977"/>
    </row>
    <row r="368" spans="5:6">
      <c r="E368" s="2212"/>
      <c r="F368" s="1977"/>
    </row>
    <row r="369" spans="5:6">
      <c r="E369" s="2212"/>
      <c r="F369" s="1977"/>
    </row>
    <row r="370" spans="5:6">
      <c r="E370" s="2212"/>
      <c r="F370" s="1977"/>
    </row>
    <row r="371" spans="5:6">
      <c r="E371" s="2212"/>
      <c r="F371" s="1977"/>
    </row>
    <row r="372" spans="5:6">
      <c r="E372" s="2212"/>
      <c r="F372" s="1977"/>
    </row>
    <row r="373" spans="5:6">
      <c r="E373" s="2212"/>
      <c r="F373" s="1977"/>
    </row>
    <row r="374" spans="5:6">
      <c r="E374" s="2212"/>
      <c r="F374" s="1977"/>
    </row>
    <row r="375" spans="5:6">
      <c r="E375" s="2212"/>
      <c r="F375" s="1977"/>
    </row>
    <row r="376" spans="5:6">
      <c r="E376" s="2212"/>
      <c r="F376" s="1977"/>
    </row>
    <row r="377" spans="5:6">
      <c r="E377" s="2212"/>
      <c r="F377" s="1977"/>
    </row>
    <row r="378" spans="5:6">
      <c r="E378" s="2212"/>
      <c r="F378" s="1977"/>
    </row>
    <row r="379" spans="5:6">
      <c r="E379" s="2212"/>
      <c r="F379" s="1977"/>
    </row>
    <row r="380" spans="5:6">
      <c r="E380" s="2212"/>
      <c r="F380" s="1977"/>
    </row>
    <row r="381" spans="5:6">
      <c r="E381" s="2212"/>
      <c r="F381" s="1977"/>
    </row>
    <row r="382" spans="5:6">
      <c r="E382" s="2212"/>
      <c r="F382" s="1977"/>
    </row>
    <row r="383" spans="5:6">
      <c r="E383" s="2212"/>
      <c r="F383" s="1977"/>
    </row>
    <row r="384" spans="5:6">
      <c r="E384" s="2212"/>
      <c r="F384" s="1977"/>
    </row>
    <row r="385" spans="5:6">
      <c r="E385" s="2212"/>
      <c r="F385" s="1977"/>
    </row>
    <row r="386" spans="5:6">
      <c r="E386" s="2212"/>
      <c r="F386" s="1977"/>
    </row>
    <row r="387" spans="5:6">
      <c r="E387" s="2212"/>
      <c r="F387" s="1977"/>
    </row>
    <row r="388" spans="5:6">
      <c r="E388" s="2212"/>
      <c r="F388" s="1977"/>
    </row>
    <row r="389" spans="5:6">
      <c r="E389" s="2212"/>
      <c r="F389" s="1977"/>
    </row>
    <row r="390" spans="5:6">
      <c r="E390" s="2212"/>
      <c r="F390" s="1977"/>
    </row>
    <row r="391" spans="5:6">
      <c r="E391" s="2212"/>
      <c r="F391" s="1977"/>
    </row>
    <row r="392" spans="5:6">
      <c r="E392" s="2212"/>
      <c r="F392" s="1977"/>
    </row>
    <row r="393" spans="5:6">
      <c r="E393" s="2212"/>
      <c r="F393" s="1977"/>
    </row>
    <row r="394" spans="5:6">
      <c r="E394" s="2212"/>
      <c r="F394" s="1977"/>
    </row>
    <row r="395" spans="5:6">
      <c r="E395" s="2212"/>
      <c r="F395" s="1977"/>
    </row>
    <row r="396" spans="5:6">
      <c r="E396" s="2212"/>
      <c r="F396" s="1977"/>
    </row>
    <row r="397" spans="5:6">
      <c r="E397" s="2212"/>
      <c r="F397" s="1977"/>
    </row>
    <row r="398" spans="5:6">
      <c r="E398" s="2212"/>
      <c r="F398" s="1977"/>
    </row>
    <row r="399" spans="5:6">
      <c r="E399" s="2212"/>
      <c r="F399" s="1977"/>
    </row>
    <row r="400" spans="5:6">
      <c r="E400" s="2212"/>
      <c r="F400" s="1977"/>
    </row>
    <row r="401" spans="5:6">
      <c r="E401" s="2212"/>
      <c r="F401" s="1977"/>
    </row>
    <row r="402" spans="5:6">
      <c r="E402" s="2212"/>
      <c r="F402" s="1977"/>
    </row>
    <row r="403" spans="5:6">
      <c r="E403" s="2212"/>
      <c r="F403" s="1977"/>
    </row>
    <row r="404" spans="5:6">
      <c r="E404" s="2212"/>
      <c r="F404" s="1977"/>
    </row>
    <row r="405" spans="5:6">
      <c r="E405" s="2212"/>
      <c r="F405" s="1977"/>
    </row>
    <row r="406" spans="5:6">
      <c r="E406" s="2212"/>
      <c r="F406" s="1977"/>
    </row>
    <row r="407" spans="5:6">
      <c r="E407" s="2212"/>
      <c r="F407" s="1977"/>
    </row>
    <row r="408" spans="5:6">
      <c r="E408" s="2212"/>
      <c r="F408" s="1977"/>
    </row>
    <row r="409" spans="5:6">
      <c r="E409" s="2212"/>
      <c r="F409" s="1977"/>
    </row>
    <row r="410" spans="5:6">
      <c r="E410" s="2212"/>
      <c r="F410" s="1977"/>
    </row>
    <row r="411" spans="5:6">
      <c r="E411" s="2212"/>
      <c r="F411" s="1977"/>
    </row>
    <row r="412" spans="5:6">
      <c r="E412" s="2212"/>
      <c r="F412" s="1977"/>
    </row>
    <row r="413" spans="5:6">
      <c r="E413" s="2212"/>
      <c r="F413" s="1977"/>
    </row>
    <row r="414" spans="5:6">
      <c r="E414" s="2212"/>
      <c r="F414" s="1977"/>
    </row>
    <row r="415" spans="5:6">
      <c r="E415" s="2212"/>
      <c r="F415" s="1977"/>
    </row>
    <row r="416" spans="5:6">
      <c r="E416" s="2212"/>
      <c r="F416" s="1977"/>
    </row>
    <row r="417" spans="5:6">
      <c r="E417" s="2212"/>
      <c r="F417" s="1977"/>
    </row>
    <row r="418" spans="5:6">
      <c r="E418" s="2212"/>
      <c r="F418" s="1977"/>
    </row>
    <row r="419" spans="5:6">
      <c r="E419" s="2212"/>
      <c r="F419" s="1977"/>
    </row>
    <row r="420" spans="5:6">
      <c r="E420" s="2212"/>
      <c r="F420" s="1977"/>
    </row>
    <row r="421" spans="5:6">
      <c r="E421" s="2212"/>
      <c r="F421" s="1977"/>
    </row>
    <row r="422" spans="5:6">
      <c r="E422" s="2212"/>
      <c r="F422" s="1977"/>
    </row>
    <row r="423" spans="5:6">
      <c r="E423" s="2212"/>
      <c r="F423" s="1977"/>
    </row>
    <row r="424" spans="5:6">
      <c r="E424" s="2212"/>
      <c r="F424" s="1977"/>
    </row>
    <row r="425" spans="5:6">
      <c r="E425" s="2212"/>
      <c r="F425" s="1977"/>
    </row>
    <row r="426" spans="5:6">
      <c r="E426" s="2212"/>
      <c r="F426" s="1977"/>
    </row>
    <row r="427" spans="5:6">
      <c r="E427" s="2212"/>
      <c r="F427" s="1977"/>
    </row>
    <row r="428" spans="5:6">
      <c r="E428" s="2212"/>
      <c r="F428" s="1977"/>
    </row>
    <row r="429" spans="5:6">
      <c r="E429" s="2212"/>
      <c r="F429" s="1977"/>
    </row>
    <row r="430" spans="5:6">
      <c r="E430" s="2212"/>
      <c r="F430" s="1977"/>
    </row>
    <row r="431" spans="5:6">
      <c r="E431" s="2212"/>
      <c r="F431" s="1977"/>
    </row>
    <row r="432" spans="5:6">
      <c r="E432" s="2212"/>
      <c r="F432" s="1977"/>
    </row>
    <row r="433" spans="5:6">
      <c r="E433" s="2212"/>
      <c r="F433" s="1977"/>
    </row>
    <row r="434" spans="5:6">
      <c r="E434" s="2212"/>
      <c r="F434" s="1977"/>
    </row>
    <row r="435" spans="5:6">
      <c r="E435" s="2212"/>
      <c r="F435" s="1977"/>
    </row>
    <row r="436" spans="5:6">
      <c r="E436" s="2212"/>
      <c r="F436" s="1977"/>
    </row>
    <row r="437" spans="5:6">
      <c r="E437" s="2212"/>
      <c r="F437" s="1977"/>
    </row>
    <row r="438" spans="5:6">
      <c r="E438" s="2212"/>
      <c r="F438" s="1977"/>
    </row>
    <row r="439" spans="5:6">
      <c r="E439" s="2212"/>
      <c r="F439" s="1977"/>
    </row>
    <row r="440" spans="5:6">
      <c r="E440" s="2212"/>
      <c r="F440" s="1977"/>
    </row>
    <row r="441" spans="5:6">
      <c r="E441" s="2212"/>
      <c r="F441" s="1977"/>
    </row>
    <row r="442" spans="5:6">
      <c r="E442" s="2212"/>
      <c r="F442" s="1977"/>
    </row>
    <row r="443" spans="5:6">
      <c r="E443" s="2212"/>
      <c r="F443" s="1977"/>
    </row>
    <row r="444" spans="5:6">
      <c r="E444" s="2212"/>
      <c r="F444" s="1977"/>
    </row>
    <row r="445" spans="5:6">
      <c r="E445" s="2212"/>
      <c r="F445" s="1977"/>
    </row>
    <row r="446" spans="5:6">
      <c r="E446" s="2212"/>
      <c r="F446" s="1977"/>
    </row>
    <row r="447" spans="5:6">
      <c r="E447" s="2212"/>
      <c r="F447" s="1977"/>
    </row>
    <row r="448" spans="5:6">
      <c r="E448" s="2212"/>
      <c r="F448" s="1977"/>
    </row>
    <row r="449" spans="5:6">
      <c r="E449" s="2212"/>
      <c r="F449" s="1977"/>
    </row>
    <row r="450" spans="5:6">
      <c r="E450" s="2212"/>
      <c r="F450" s="1977"/>
    </row>
    <row r="451" spans="5:6">
      <c r="E451" s="2212"/>
      <c r="F451" s="1977"/>
    </row>
    <row r="452" spans="5:6">
      <c r="E452" s="2212"/>
      <c r="F452" s="1977"/>
    </row>
    <row r="453" spans="5:6">
      <c r="E453" s="2212"/>
      <c r="F453" s="1977"/>
    </row>
    <row r="454" spans="5:6">
      <c r="E454" s="2212"/>
      <c r="F454" s="1977"/>
    </row>
    <row r="455" spans="5:6">
      <c r="E455" s="2212"/>
      <c r="F455" s="1977"/>
    </row>
    <row r="456" spans="5:6">
      <c r="E456" s="2212"/>
      <c r="F456" s="1977"/>
    </row>
    <row r="457" spans="5:6">
      <c r="E457" s="2212"/>
      <c r="F457" s="1977"/>
    </row>
    <row r="458" spans="5:6">
      <c r="E458" s="2212"/>
      <c r="F458" s="1977"/>
    </row>
    <row r="459" spans="5:6">
      <c r="E459" s="2212"/>
      <c r="F459" s="1977"/>
    </row>
    <row r="460" spans="5:6">
      <c r="E460" s="2212"/>
      <c r="F460" s="1977"/>
    </row>
    <row r="461" spans="5:6">
      <c r="E461" s="2212"/>
      <c r="F461" s="1977"/>
    </row>
    <row r="462" spans="5:6">
      <c r="E462" s="2212"/>
      <c r="F462" s="1977"/>
    </row>
    <row r="463" spans="5:6">
      <c r="E463" s="2212"/>
      <c r="F463" s="1977"/>
    </row>
    <row r="464" spans="5:6">
      <c r="E464" s="2212"/>
      <c r="F464" s="1977"/>
    </row>
    <row r="465" spans="5:6">
      <c r="E465" s="2212"/>
      <c r="F465" s="1977"/>
    </row>
    <row r="466" spans="5:6">
      <c r="E466" s="2212"/>
      <c r="F466" s="1977"/>
    </row>
    <row r="467" spans="5:6">
      <c r="E467" s="2212"/>
      <c r="F467" s="1977"/>
    </row>
    <row r="468" spans="5:6">
      <c r="E468" s="2212"/>
      <c r="F468" s="1977"/>
    </row>
    <row r="469" spans="5:6">
      <c r="E469" s="2212"/>
      <c r="F469" s="1977"/>
    </row>
    <row r="470" spans="5:6">
      <c r="E470" s="2212"/>
      <c r="F470" s="1977"/>
    </row>
    <row r="471" spans="5:6">
      <c r="E471" s="2212"/>
      <c r="F471" s="1977"/>
    </row>
    <row r="472" spans="5:6">
      <c r="E472" s="2212"/>
      <c r="F472" s="1977"/>
    </row>
    <row r="473" spans="5:6">
      <c r="E473" s="2212"/>
      <c r="F473" s="1977"/>
    </row>
    <row r="474" spans="5:6">
      <c r="E474" s="2212"/>
      <c r="F474" s="1977"/>
    </row>
    <row r="475" spans="5:6">
      <c r="E475" s="2212"/>
      <c r="F475" s="1977"/>
    </row>
    <row r="476" spans="5:6">
      <c r="E476" s="2212"/>
      <c r="F476" s="1977"/>
    </row>
    <row r="477" spans="5:6">
      <c r="E477" s="2212"/>
      <c r="F477" s="1977"/>
    </row>
    <row r="478" spans="5:6">
      <c r="E478" s="2212"/>
      <c r="F478" s="1977"/>
    </row>
    <row r="479" spans="5:6">
      <c r="E479" s="2212"/>
      <c r="F479" s="1977"/>
    </row>
    <row r="480" spans="5:6">
      <c r="E480" s="2212"/>
      <c r="F480" s="1977"/>
    </row>
    <row r="481" spans="5:6">
      <c r="E481" s="2212"/>
      <c r="F481" s="1977"/>
    </row>
    <row r="482" spans="5:6">
      <c r="E482" s="2212"/>
      <c r="F482" s="1977"/>
    </row>
    <row r="483" spans="5:6">
      <c r="E483" s="2212"/>
      <c r="F483" s="1977"/>
    </row>
    <row r="484" spans="5:6">
      <c r="E484" s="2212"/>
      <c r="F484" s="1977"/>
    </row>
    <row r="485" spans="5:6">
      <c r="E485" s="2212"/>
      <c r="F485" s="1977"/>
    </row>
    <row r="486" spans="5:6">
      <c r="E486" s="2212"/>
      <c r="F486" s="1977"/>
    </row>
    <row r="487" spans="5:6">
      <c r="E487" s="2212"/>
      <c r="F487" s="1977"/>
    </row>
    <row r="488" spans="5:6">
      <c r="E488" s="2212"/>
      <c r="F488" s="1977"/>
    </row>
    <row r="489" spans="5:6">
      <c r="E489" s="2212"/>
      <c r="F489" s="1977"/>
    </row>
    <row r="490" spans="5:6">
      <c r="E490" s="2212"/>
      <c r="F490" s="1977"/>
    </row>
    <row r="491" spans="5:6">
      <c r="E491" s="2212"/>
      <c r="F491" s="1977"/>
    </row>
    <row r="492" spans="5:6">
      <c r="E492" s="2212"/>
      <c r="F492" s="1977"/>
    </row>
    <row r="493" spans="5:6">
      <c r="E493" s="2212"/>
      <c r="F493" s="1977"/>
    </row>
    <row r="494" spans="5:6">
      <c r="E494" s="2212"/>
      <c r="F494" s="1977"/>
    </row>
    <row r="495" spans="5:6">
      <c r="E495" s="2212"/>
      <c r="F495" s="1977"/>
    </row>
    <row r="496" spans="5:6">
      <c r="E496" s="2212"/>
      <c r="F496" s="1977"/>
    </row>
    <row r="497" spans="5:6">
      <c r="E497" s="2212"/>
      <c r="F497" s="1977"/>
    </row>
    <row r="498" spans="5:6">
      <c r="E498" s="2212"/>
      <c r="F498" s="1977"/>
    </row>
    <row r="499" spans="5:6">
      <c r="E499" s="2212"/>
      <c r="F499" s="1977"/>
    </row>
    <row r="500" spans="5:6">
      <c r="E500" s="2212"/>
      <c r="F500" s="1977"/>
    </row>
    <row r="501" spans="5:6">
      <c r="E501" s="2212"/>
      <c r="F501" s="1977"/>
    </row>
    <row r="502" spans="5:6">
      <c r="E502" s="2212"/>
      <c r="F502" s="1977"/>
    </row>
    <row r="503" spans="5:6">
      <c r="E503" s="2212"/>
      <c r="F503" s="1977"/>
    </row>
    <row r="504" spans="5:6">
      <c r="E504" s="2212"/>
      <c r="F504" s="1977"/>
    </row>
    <row r="505" spans="5:6">
      <c r="E505" s="2212"/>
      <c r="F505" s="1977"/>
    </row>
    <row r="506" spans="5:6">
      <c r="E506" s="2212"/>
      <c r="F506" s="1977"/>
    </row>
    <row r="507" spans="5:6">
      <c r="E507" s="2212"/>
      <c r="F507" s="1977"/>
    </row>
    <row r="508" spans="5:6">
      <c r="E508" s="2212"/>
      <c r="F508" s="1977"/>
    </row>
    <row r="509" spans="5:6">
      <c r="E509" s="2212"/>
      <c r="F509" s="1977"/>
    </row>
    <row r="510" spans="5:6">
      <c r="E510" s="2212"/>
      <c r="F510" s="1977"/>
    </row>
    <row r="511" spans="5:6">
      <c r="E511" s="2212"/>
      <c r="F511" s="1977"/>
    </row>
    <row r="512" spans="5:6">
      <c r="E512" s="2212"/>
      <c r="F512" s="1977"/>
    </row>
    <row r="513" spans="5:6">
      <c r="E513" s="2212"/>
      <c r="F513" s="1977"/>
    </row>
    <row r="514" spans="5:6">
      <c r="E514" s="2212"/>
      <c r="F514" s="1977"/>
    </row>
    <row r="515" spans="5:6">
      <c r="E515" s="2212"/>
      <c r="F515" s="1977"/>
    </row>
    <row r="516" spans="5:6">
      <c r="E516" s="2212"/>
      <c r="F516" s="1977"/>
    </row>
    <row r="517" spans="5:6">
      <c r="E517" s="2212"/>
      <c r="F517" s="1977"/>
    </row>
    <row r="518" spans="5:6">
      <c r="E518" s="2212"/>
      <c r="F518" s="1977"/>
    </row>
    <row r="519" spans="5:6">
      <c r="E519" s="2212"/>
      <c r="F519" s="1977"/>
    </row>
    <row r="520" spans="5:6">
      <c r="E520" s="2212"/>
      <c r="F520" s="1977"/>
    </row>
    <row r="521" spans="5:6">
      <c r="E521" s="2212"/>
      <c r="F521" s="1977"/>
    </row>
    <row r="522" spans="5:6">
      <c r="E522" s="2212"/>
      <c r="F522" s="1977"/>
    </row>
    <row r="523" spans="5:6">
      <c r="E523" s="2212"/>
      <c r="F523" s="1977"/>
    </row>
    <row r="524" spans="5:6">
      <c r="E524" s="2212"/>
      <c r="F524" s="1977"/>
    </row>
    <row r="525" spans="5:6">
      <c r="E525" s="2212"/>
      <c r="F525" s="1977"/>
    </row>
    <row r="526" spans="5:6">
      <c r="E526" s="2212"/>
      <c r="F526" s="1977"/>
    </row>
    <row r="527" spans="5:6">
      <c r="E527" s="2212"/>
      <c r="F527" s="1977"/>
    </row>
    <row r="528" spans="5:6">
      <c r="E528" s="2212"/>
      <c r="F528" s="1977"/>
    </row>
    <row r="529" spans="1:25">
      <c r="E529" s="2212"/>
      <c r="F529" s="1977"/>
    </row>
    <row r="530" spans="1:25">
      <c r="E530" s="2212"/>
      <c r="F530" s="1977"/>
    </row>
    <row r="531" spans="1:25">
      <c r="E531" s="2212"/>
      <c r="F531" s="1977"/>
    </row>
    <row r="532" spans="1:25">
      <c r="E532" s="2212"/>
      <c r="F532" s="1977"/>
    </row>
    <row r="533" spans="1:25">
      <c r="E533" s="2212"/>
      <c r="F533" s="1977"/>
    </row>
    <row r="534" spans="1:25">
      <c r="E534" s="2212"/>
      <c r="F534" s="1977"/>
    </row>
    <row r="535" spans="1:25">
      <c r="E535" s="2212"/>
      <c r="F535" s="1977"/>
    </row>
    <row r="536" spans="1:25">
      <c r="E536" s="2212"/>
      <c r="F536" s="1977"/>
    </row>
    <row r="537" spans="1:25">
      <c r="E537" s="2212"/>
      <c r="F537" s="1977"/>
    </row>
    <row r="538" spans="1:25">
      <c r="E538" s="2212"/>
      <c r="F538" s="1977"/>
    </row>
    <row r="539" spans="1:25">
      <c r="E539" s="2212"/>
      <c r="F539" s="1977"/>
    </row>
    <row r="540" spans="1:25">
      <c r="E540" s="2212"/>
      <c r="F540" s="1977"/>
    </row>
    <row r="541" spans="1:25">
      <c r="E541" s="2212"/>
      <c r="F541" s="1977"/>
    </row>
    <row r="542" spans="1:25">
      <c r="E542" s="2212"/>
      <c r="F542" s="1977"/>
    </row>
    <row r="543" spans="1:25" ht="13.5" thickBot="1">
      <c r="E543" s="2212"/>
      <c r="F543" s="1977"/>
    </row>
    <row r="544" spans="1:25" ht="45">
      <c r="A544" s="2216"/>
      <c r="B544" s="2217" t="s">
        <v>85</v>
      </c>
      <c r="C544" s="2217"/>
      <c r="D544" s="2218"/>
      <c r="E544" s="2219"/>
      <c r="F544" s="2220"/>
      <c r="G544" s="2220"/>
      <c r="H544" s="2220"/>
      <c r="I544" s="2221"/>
      <c r="J544" s="2221"/>
      <c r="K544" s="2221"/>
      <c r="L544" s="2221"/>
      <c r="M544" s="2218"/>
      <c r="N544" s="2218"/>
      <c r="O544" s="2218"/>
      <c r="P544" s="2218"/>
      <c r="Q544" s="2218"/>
      <c r="R544" s="2218"/>
      <c r="S544" s="2218"/>
      <c r="T544" s="2218"/>
      <c r="U544" s="2218"/>
      <c r="V544" s="2218"/>
      <c r="W544" s="2218"/>
      <c r="X544" s="2218"/>
      <c r="Y544" s="2222"/>
    </row>
    <row r="545" spans="1:25">
      <c r="A545" s="2223"/>
      <c r="E545" s="2212"/>
      <c r="F545" s="1977"/>
      <c r="Y545" s="2224"/>
    </row>
    <row r="546" spans="1:25">
      <c r="A546" s="2223"/>
      <c r="E546" s="2212"/>
      <c r="F546" s="1977"/>
      <c r="Y546" s="2224"/>
    </row>
    <row r="547" spans="1:25">
      <c r="A547" s="2223"/>
      <c r="E547" s="2212"/>
      <c r="F547" s="1977"/>
      <c r="Y547" s="2224"/>
    </row>
    <row r="548" spans="1:25">
      <c r="A548" s="2223"/>
      <c r="E548" s="2212"/>
      <c r="F548" s="1977"/>
      <c r="Y548" s="2224"/>
    </row>
    <row r="549" spans="1:25">
      <c r="A549" s="2223"/>
      <c r="E549" s="2212"/>
      <c r="F549" s="1977"/>
      <c r="Y549" s="2224"/>
    </row>
    <row r="550" spans="1:25">
      <c r="A550" s="2223"/>
      <c r="E550" s="2212"/>
      <c r="F550" s="1977"/>
      <c r="Y550" s="2224"/>
    </row>
    <row r="551" spans="1:25">
      <c r="A551" s="2223"/>
      <c r="E551" s="2212"/>
      <c r="F551" s="1977"/>
      <c r="Y551" s="2224"/>
    </row>
    <row r="552" spans="1:25">
      <c r="A552" s="2223"/>
      <c r="E552" s="2212"/>
      <c r="F552" s="1977"/>
      <c r="Y552" s="2224"/>
    </row>
    <row r="553" spans="1:25">
      <c r="A553" s="2223"/>
      <c r="E553" s="2212"/>
      <c r="F553" s="1977"/>
      <c r="Y553" s="2224"/>
    </row>
    <row r="554" spans="1:25">
      <c r="A554" s="2223"/>
      <c r="E554" s="2212"/>
      <c r="F554" s="1977"/>
      <c r="Y554" s="2224"/>
    </row>
    <row r="555" spans="1:25" ht="13.5" thickBot="1">
      <c r="A555" s="2225"/>
      <c r="B555" s="2226"/>
      <c r="C555" s="2226"/>
      <c r="D555" s="2226"/>
      <c r="E555" s="2227"/>
      <c r="F555" s="2228"/>
      <c r="G555" s="2228"/>
      <c r="H555" s="2228"/>
      <c r="I555" s="2229"/>
      <c r="J555" s="2229"/>
      <c r="K555" s="2229"/>
      <c r="L555" s="2229"/>
      <c r="M555" s="2226"/>
      <c r="N555" s="2226"/>
      <c r="O555" s="2226"/>
      <c r="P555" s="2226"/>
      <c r="Q555" s="2226"/>
      <c r="R555" s="2226"/>
      <c r="S555" s="2226"/>
      <c r="T555" s="2226"/>
      <c r="U555" s="2226"/>
      <c r="V555" s="2226"/>
      <c r="W555" s="2226"/>
      <c r="X555" s="2226"/>
      <c r="Y555" s="2230"/>
    </row>
    <row r="556" spans="1:25">
      <c r="E556" s="2212"/>
      <c r="F556" s="1977"/>
    </row>
    <row r="557" spans="1:25">
      <c r="E557" s="2212"/>
      <c r="F557" s="1977"/>
    </row>
    <row r="558" spans="1:25">
      <c r="E558" s="2212"/>
      <c r="F558" s="1977"/>
    </row>
    <row r="559" spans="1:25">
      <c r="E559" s="2212"/>
      <c r="F559" s="1977"/>
    </row>
    <row r="560" spans="1:25">
      <c r="E560" s="2212"/>
      <c r="F560" s="1977"/>
    </row>
    <row r="561" spans="5:6">
      <c r="E561" s="2212"/>
      <c r="F561" s="1977"/>
    </row>
    <row r="562" spans="5:6">
      <c r="E562" s="2212"/>
      <c r="F562" s="1977"/>
    </row>
    <row r="563" spans="5:6">
      <c r="E563" s="2212"/>
      <c r="F563" s="1977"/>
    </row>
    <row r="564" spans="5:6">
      <c r="E564" s="2212"/>
      <c r="F564" s="1977"/>
    </row>
    <row r="565" spans="5:6">
      <c r="E565" s="2212"/>
      <c r="F565" s="1977"/>
    </row>
    <row r="566" spans="5:6">
      <c r="E566" s="2212"/>
      <c r="F566" s="1977"/>
    </row>
    <row r="567" spans="5:6">
      <c r="E567" s="2212"/>
      <c r="F567" s="1977"/>
    </row>
    <row r="568" spans="5:6">
      <c r="E568" s="2212"/>
      <c r="F568" s="1977"/>
    </row>
    <row r="569" spans="5:6">
      <c r="E569" s="2212"/>
      <c r="F569" s="1977"/>
    </row>
    <row r="570" spans="5:6">
      <c r="E570" s="2212"/>
      <c r="F570" s="1977"/>
    </row>
    <row r="571" spans="5:6">
      <c r="E571" s="2212"/>
      <c r="F571" s="1977"/>
    </row>
    <row r="572" spans="5:6">
      <c r="E572" s="2212"/>
      <c r="F572" s="1977"/>
    </row>
    <row r="573" spans="5:6">
      <c r="E573" s="2212"/>
      <c r="F573" s="1977"/>
    </row>
    <row r="574" spans="5:6">
      <c r="E574" s="2212"/>
      <c r="F574" s="1977"/>
    </row>
    <row r="575" spans="5:6">
      <c r="E575" s="2212"/>
      <c r="F575" s="1977"/>
    </row>
    <row r="576" spans="5:6">
      <c r="E576" s="2212"/>
      <c r="F576" s="1977"/>
    </row>
    <row r="577" spans="5:6">
      <c r="E577" s="2212"/>
      <c r="F577" s="1977"/>
    </row>
    <row r="578" spans="5:6">
      <c r="E578" s="2212"/>
      <c r="F578" s="1977"/>
    </row>
    <row r="579" spans="5:6">
      <c r="E579" s="2212"/>
      <c r="F579" s="1977"/>
    </row>
    <row r="580" spans="5:6">
      <c r="E580" s="2212"/>
      <c r="F580" s="1977"/>
    </row>
    <row r="581" spans="5:6">
      <c r="E581" s="2212"/>
      <c r="F581" s="1977"/>
    </row>
    <row r="582" spans="5:6">
      <c r="E582" s="2212"/>
      <c r="F582" s="1977"/>
    </row>
    <row r="583" spans="5:6">
      <c r="E583" s="2212"/>
      <c r="F583" s="1977"/>
    </row>
    <row r="584" spans="5:6">
      <c r="E584" s="2212"/>
      <c r="F584" s="1977"/>
    </row>
    <row r="585" spans="5:6">
      <c r="E585" s="2212"/>
      <c r="F585" s="1977"/>
    </row>
    <row r="586" spans="5:6">
      <c r="E586" s="2212"/>
      <c r="F586" s="1977"/>
    </row>
    <row r="587" spans="5:6">
      <c r="E587" s="2212"/>
      <c r="F587" s="1977"/>
    </row>
    <row r="588" spans="5:6">
      <c r="E588" s="2212"/>
      <c r="F588" s="1977"/>
    </row>
    <row r="589" spans="5:6">
      <c r="E589" s="2212"/>
      <c r="F589" s="1977"/>
    </row>
    <row r="590" spans="5:6">
      <c r="E590" s="2212"/>
      <c r="F590" s="1977"/>
    </row>
    <row r="591" spans="5:6">
      <c r="E591" s="2212"/>
      <c r="F591" s="1977"/>
    </row>
    <row r="592" spans="5:6">
      <c r="E592" s="2212"/>
      <c r="F592" s="1977"/>
    </row>
    <row r="593" spans="5:6">
      <c r="E593" s="2212"/>
      <c r="F593" s="1977"/>
    </row>
    <row r="594" spans="5:6">
      <c r="E594" s="2212"/>
      <c r="F594" s="1977"/>
    </row>
    <row r="595" spans="5:6">
      <c r="E595" s="2212"/>
      <c r="F595" s="1977"/>
    </row>
    <row r="596" spans="5:6">
      <c r="E596" s="2212"/>
      <c r="F596" s="1977"/>
    </row>
    <row r="597" spans="5:6">
      <c r="E597" s="2212"/>
      <c r="F597" s="1977"/>
    </row>
    <row r="598" spans="5:6">
      <c r="E598" s="2212"/>
      <c r="F598" s="1977"/>
    </row>
    <row r="599" spans="5:6">
      <c r="E599" s="2212"/>
      <c r="F599" s="1977"/>
    </row>
    <row r="600" spans="5:6">
      <c r="E600" s="2212"/>
      <c r="F600" s="1977"/>
    </row>
    <row r="601" spans="5:6">
      <c r="E601" s="2212"/>
      <c r="F601" s="1977"/>
    </row>
    <row r="602" spans="5:6">
      <c r="E602" s="2212"/>
      <c r="F602" s="1977"/>
    </row>
    <row r="603" spans="5:6">
      <c r="E603" s="2212"/>
      <c r="F603" s="1977"/>
    </row>
    <row r="604" spans="5:6">
      <c r="E604" s="2212"/>
      <c r="F604" s="1977"/>
    </row>
    <row r="605" spans="5:6">
      <c r="E605" s="2212"/>
      <c r="F605" s="1977"/>
    </row>
    <row r="606" spans="5:6">
      <c r="E606" s="2212"/>
      <c r="F606" s="1977"/>
    </row>
    <row r="607" spans="5:6">
      <c r="E607" s="2212"/>
      <c r="F607" s="1977"/>
    </row>
    <row r="608" spans="5:6">
      <c r="E608" s="2212"/>
      <c r="F608" s="1977"/>
    </row>
    <row r="609" spans="5:6">
      <c r="E609" s="2212"/>
      <c r="F609" s="1977"/>
    </row>
    <row r="610" spans="5:6">
      <c r="E610" s="2212"/>
      <c r="F610" s="1977"/>
    </row>
    <row r="611" spans="5:6">
      <c r="E611" s="2212"/>
      <c r="F611" s="1977"/>
    </row>
    <row r="612" spans="5:6">
      <c r="E612" s="2212"/>
      <c r="F612" s="1977"/>
    </row>
    <row r="613" spans="5:6">
      <c r="E613" s="2212"/>
      <c r="F613" s="1977"/>
    </row>
    <row r="614" spans="5:6">
      <c r="E614" s="2212"/>
      <c r="F614" s="1977"/>
    </row>
    <row r="615" spans="5:6">
      <c r="E615" s="2212"/>
      <c r="F615" s="1977"/>
    </row>
    <row r="616" spans="5:6">
      <c r="E616" s="2212"/>
      <c r="F616" s="1977"/>
    </row>
    <row r="617" spans="5:6">
      <c r="E617" s="2212"/>
      <c r="F617" s="1977"/>
    </row>
    <row r="618" spans="5:6">
      <c r="E618" s="2212"/>
      <c r="F618" s="1977"/>
    </row>
    <row r="619" spans="5:6">
      <c r="E619" s="2212"/>
      <c r="F619" s="1977"/>
    </row>
    <row r="620" spans="5:6">
      <c r="E620" s="2212"/>
      <c r="F620" s="1977"/>
    </row>
    <row r="621" spans="5:6">
      <c r="E621" s="2212"/>
      <c r="F621" s="1977"/>
    </row>
    <row r="622" spans="5:6">
      <c r="E622" s="2212"/>
      <c r="F622" s="1977"/>
    </row>
    <row r="623" spans="5:6">
      <c r="E623" s="2212"/>
      <c r="F623" s="1977"/>
    </row>
    <row r="624" spans="5:6">
      <c r="E624" s="2212"/>
      <c r="F624" s="1977"/>
    </row>
    <row r="625" spans="5:6">
      <c r="E625" s="2212"/>
      <c r="F625" s="1977"/>
    </row>
    <row r="626" spans="5:6">
      <c r="E626" s="2212"/>
      <c r="F626" s="1977"/>
    </row>
    <row r="627" spans="5:6">
      <c r="E627" s="2212"/>
      <c r="F627" s="1977"/>
    </row>
    <row r="628" spans="5:6">
      <c r="E628" s="2212"/>
      <c r="F628" s="1977"/>
    </row>
    <row r="629" spans="5:6">
      <c r="E629" s="2212"/>
      <c r="F629" s="1977"/>
    </row>
    <row r="630" spans="5:6">
      <c r="E630" s="2212"/>
      <c r="F630" s="1977"/>
    </row>
    <row r="631" spans="5:6">
      <c r="E631" s="2212"/>
      <c r="F631" s="1977"/>
    </row>
    <row r="632" spans="5:6">
      <c r="E632" s="2212"/>
      <c r="F632" s="1977"/>
    </row>
    <row r="633" spans="5:6">
      <c r="E633" s="2212"/>
      <c r="F633" s="1977"/>
    </row>
    <row r="634" spans="5:6">
      <c r="E634" s="2212"/>
      <c r="F634" s="1977"/>
    </row>
    <row r="635" spans="5:6">
      <c r="E635" s="2212"/>
      <c r="F635" s="1977"/>
    </row>
    <row r="636" spans="5:6">
      <c r="E636" s="2212"/>
      <c r="F636" s="1977"/>
    </row>
    <row r="637" spans="5:6">
      <c r="E637" s="2212"/>
      <c r="F637" s="1977"/>
    </row>
    <row r="638" spans="5:6">
      <c r="E638" s="2212"/>
      <c r="F638" s="1977"/>
    </row>
    <row r="639" spans="5:6">
      <c r="E639" s="2212"/>
      <c r="F639" s="1977"/>
    </row>
    <row r="640" spans="5:6">
      <c r="E640" s="2212"/>
      <c r="F640" s="1977"/>
    </row>
    <row r="641" spans="5:6">
      <c r="E641" s="2212"/>
      <c r="F641" s="1977"/>
    </row>
    <row r="642" spans="5:6">
      <c r="E642" s="2212"/>
      <c r="F642" s="1977"/>
    </row>
    <row r="643" spans="5:6">
      <c r="E643" s="2212"/>
      <c r="F643" s="1977"/>
    </row>
    <row r="644" spans="5:6">
      <c r="E644" s="2212"/>
      <c r="F644" s="1977"/>
    </row>
    <row r="645" spans="5:6">
      <c r="E645" s="2212"/>
      <c r="F645" s="1977"/>
    </row>
    <row r="646" spans="5:6">
      <c r="E646" s="2212"/>
      <c r="F646" s="1977"/>
    </row>
    <row r="647" spans="5:6">
      <c r="E647" s="2212"/>
      <c r="F647" s="1977"/>
    </row>
    <row r="648" spans="5:6">
      <c r="E648" s="2212"/>
      <c r="F648" s="1977"/>
    </row>
    <row r="649" spans="5:6">
      <c r="E649" s="2212"/>
      <c r="F649" s="1977"/>
    </row>
    <row r="650" spans="5:6">
      <c r="E650" s="2212"/>
      <c r="F650" s="1977"/>
    </row>
    <row r="651" spans="5:6">
      <c r="E651" s="2212"/>
      <c r="F651" s="1977"/>
    </row>
    <row r="652" spans="5:6">
      <c r="E652" s="2212"/>
      <c r="F652" s="1977"/>
    </row>
    <row r="653" spans="5:6">
      <c r="E653" s="2212"/>
      <c r="F653" s="1977"/>
    </row>
    <row r="654" spans="5:6">
      <c r="E654" s="2212"/>
      <c r="F654" s="1977"/>
    </row>
    <row r="655" spans="5:6">
      <c r="E655" s="2212"/>
      <c r="F655" s="1977"/>
    </row>
    <row r="656" spans="5:6">
      <c r="E656" s="2212"/>
      <c r="F656" s="1977"/>
    </row>
    <row r="657" spans="5:6">
      <c r="E657" s="2212"/>
      <c r="F657" s="1977"/>
    </row>
    <row r="658" spans="5:6">
      <c r="E658" s="2212"/>
      <c r="F658" s="1977"/>
    </row>
    <row r="659" spans="5:6">
      <c r="E659" s="2212"/>
      <c r="F659" s="1977"/>
    </row>
    <row r="660" spans="5:6">
      <c r="E660" s="2212"/>
      <c r="F660" s="1977"/>
    </row>
    <row r="661" spans="5:6">
      <c r="E661" s="2212"/>
      <c r="F661" s="1977"/>
    </row>
    <row r="662" spans="5:6">
      <c r="E662" s="2212"/>
      <c r="F662" s="1977"/>
    </row>
    <row r="663" spans="5:6">
      <c r="E663" s="2212"/>
      <c r="F663" s="1977"/>
    </row>
    <row r="664" spans="5:6">
      <c r="E664" s="2212"/>
      <c r="F664" s="1977"/>
    </row>
    <row r="665" spans="5:6">
      <c r="E665" s="2212"/>
      <c r="F665" s="1977"/>
    </row>
    <row r="666" spans="5:6">
      <c r="E666" s="2212"/>
      <c r="F666" s="1977"/>
    </row>
    <row r="667" spans="5:6">
      <c r="E667" s="2212"/>
      <c r="F667" s="1977"/>
    </row>
    <row r="668" spans="5:6">
      <c r="E668" s="2212"/>
      <c r="F668" s="1977"/>
    </row>
    <row r="669" spans="5:6">
      <c r="E669" s="2212"/>
      <c r="F669" s="1977"/>
    </row>
    <row r="670" spans="5:6">
      <c r="E670" s="2212"/>
      <c r="F670" s="1977"/>
    </row>
    <row r="671" spans="5:6">
      <c r="E671" s="2212"/>
      <c r="F671" s="1977"/>
    </row>
    <row r="672" spans="5:6">
      <c r="E672" s="2212"/>
      <c r="F672" s="1977"/>
    </row>
    <row r="673" spans="5:6">
      <c r="E673" s="2212"/>
      <c r="F673" s="1977"/>
    </row>
    <row r="674" spans="5:6">
      <c r="E674" s="2212"/>
      <c r="F674" s="1977"/>
    </row>
    <row r="675" spans="5:6">
      <c r="E675" s="2212"/>
      <c r="F675" s="1977"/>
    </row>
    <row r="676" spans="5:6">
      <c r="E676" s="2212"/>
      <c r="F676" s="1977"/>
    </row>
    <row r="677" spans="5:6">
      <c r="E677" s="2212"/>
      <c r="F677" s="1977"/>
    </row>
    <row r="678" spans="5:6">
      <c r="E678" s="2212"/>
      <c r="F678" s="1977"/>
    </row>
    <row r="679" spans="5:6">
      <c r="E679" s="2212"/>
      <c r="F679" s="1977"/>
    </row>
    <row r="680" spans="5:6">
      <c r="E680" s="2212"/>
      <c r="F680" s="1977"/>
    </row>
    <row r="681" spans="5:6">
      <c r="E681" s="2212"/>
      <c r="F681" s="1977"/>
    </row>
    <row r="682" spans="5:6">
      <c r="E682" s="2212"/>
      <c r="F682" s="1977"/>
    </row>
    <row r="683" spans="5:6">
      <c r="E683" s="2212"/>
      <c r="F683" s="1977"/>
    </row>
    <row r="684" spans="5:6">
      <c r="E684" s="2212"/>
      <c r="F684" s="1977"/>
    </row>
    <row r="685" spans="5:6">
      <c r="E685" s="2212"/>
      <c r="F685" s="1977"/>
    </row>
    <row r="686" spans="5:6">
      <c r="E686" s="2212"/>
      <c r="F686" s="1977"/>
    </row>
    <row r="687" spans="5:6">
      <c r="E687" s="2212"/>
      <c r="F687" s="1977"/>
    </row>
    <row r="688" spans="5:6">
      <c r="E688" s="2212"/>
      <c r="F688" s="1977"/>
    </row>
    <row r="689" spans="5:6">
      <c r="E689" s="2212"/>
      <c r="F689" s="1977"/>
    </row>
    <row r="690" spans="5:6">
      <c r="E690" s="2212"/>
      <c r="F690" s="1977"/>
    </row>
    <row r="691" spans="5:6">
      <c r="E691" s="2212"/>
      <c r="F691" s="1977"/>
    </row>
    <row r="692" spans="5:6">
      <c r="E692" s="2212"/>
      <c r="F692" s="1977"/>
    </row>
    <row r="693" spans="5:6">
      <c r="E693" s="2212"/>
      <c r="F693" s="1977"/>
    </row>
    <row r="694" spans="5:6">
      <c r="E694" s="2212"/>
      <c r="F694" s="1977"/>
    </row>
    <row r="695" spans="5:6">
      <c r="E695" s="2212"/>
      <c r="F695" s="1977"/>
    </row>
    <row r="696" spans="5:6">
      <c r="E696" s="2212"/>
      <c r="F696" s="1977"/>
    </row>
    <row r="697" spans="5:6">
      <c r="E697" s="2212"/>
      <c r="F697" s="1977"/>
    </row>
    <row r="698" spans="5:6">
      <c r="E698" s="2212"/>
      <c r="F698" s="1977"/>
    </row>
    <row r="699" spans="5:6">
      <c r="E699" s="2212"/>
      <c r="F699" s="1977"/>
    </row>
    <row r="700" spans="5:6">
      <c r="E700" s="2212"/>
      <c r="F700" s="1977"/>
    </row>
    <row r="701" spans="5:6">
      <c r="E701" s="2212"/>
      <c r="F701" s="1977"/>
    </row>
    <row r="702" spans="5:6">
      <c r="E702" s="2212"/>
      <c r="F702" s="1977"/>
    </row>
    <row r="703" spans="5:6">
      <c r="E703" s="2212"/>
      <c r="F703" s="1977"/>
    </row>
    <row r="704" spans="5:6">
      <c r="E704" s="2212"/>
      <c r="F704" s="1977"/>
    </row>
    <row r="705" spans="5:6">
      <c r="E705" s="2212"/>
      <c r="F705" s="1977"/>
    </row>
    <row r="706" spans="5:6">
      <c r="E706" s="2212"/>
      <c r="F706" s="1977"/>
    </row>
    <row r="707" spans="5:6">
      <c r="E707" s="2212"/>
      <c r="F707" s="1977"/>
    </row>
    <row r="708" spans="5:6">
      <c r="E708" s="2212"/>
      <c r="F708" s="1977"/>
    </row>
    <row r="709" spans="5:6">
      <c r="E709" s="2212"/>
      <c r="F709" s="1977"/>
    </row>
    <row r="710" spans="5:6">
      <c r="E710" s="2212"/>
      <c r="F710" s="1977"/>
    </row>
    <row r="711" spans="5:6">
      <c r="E711" s="2212"/>
      <c r="F711" s="1977"/>
    </row>
    <row r="712" spans="5:6">
      <c r="E712" s="2212"/>
      <c r="F712" s="1977"/>
    </row>
    <row r="713" spans="5:6">
      <c r="E713" s="2212"/>
      <c r="F713" s="1977"/>
    </row>
    <row r="714" spans="5:6">
      <c r="E714" s="2212"/>
      <c r="F714" s="1977"/>
    </row>
    <row r="715" spans="5:6">
      <c r="E715" s="2212"/>
      <c r="F715" s="1977"/>
    </row>
    <row r="716" spans="5:6">
      <c r="E716" s="2212"/>
      <c r="F716" s="1977"/>
    </row>
    <row r="717" spans="5:6">
      <c r="E717" s="2212"/>
      <c r="F717" s="1977"/>
    </row>
    <row r="718" spans="5:6">
      <c r="E718" s="2212"/>
      <c r="F718" s="1977"/>
    </row>
    <row r="719" spans="5:6">
      <c r="E719" s="2212"/>
      <c r="F719" s="1977"/>
    </row>
    <row r="720" spans="5:6">
      <c r="E720" s="2212"/>
      <c r="F720" s="1977"/>
    </row>
    <row r="721" spans="5:6">
      <c r="E721" s="2212"/>
      <c r="F721" s="1977"/>
    </row>
    <row r="722" spans="5:6">
      <c r="E722" s="2212"/>
      <c r="F722" s="1977"/>
    </row>
    <row r="723" spans="5:6">
      <c r="E723" s="2212"/>
      <c r="F723" s="1977"/>
    </row>
    <row r="724" spans="5:6">
      <c r="E724" s="2212"/>
      <c r="F724" s="1977"/>
    </row>
    <row r="725" spans="5:6">
      <c r="E725" s="2212"/>
      <c r="F725" s="1977"/>
    </row>
    <row r="726" spans="5:6">
      <c r="E726" s="2212"/>
      <c r="F726" s="1977"/>
    </row>
    <row r="727" spans="5:6">
      <c r="E727" s="2212"/>
      <c r="F727" s="1977"/>
    </row>
    <row r="728" spans="5:6">
      <c r="E728" s="2212"/>
      <c r="F728" s="1977"/>
    </row>
    <row r="729" spans="5:6">
      <c r="E729" s="2212"/>
      <c r="F729" s="1977"/>
    </row>
    <row r="730" spans="5:6">
      <c r="E730" s="2212"/>
      <c r="F730" s="1977"/>
    </row>
    <row r="731" spans="5:6">
      <c r="E731" s="2212"/>
      <c r="F731" s="1977"/>
    </row>
    <row r="732" spans="5:6">
      <c r="E732" s="2212"/>
      <c r="F732" s="1977"/>
    </row>
    <row r="733" spans="5:6">
      <c r="E733" s="2212"/>
      <c r="F733" s="1977"/>
    </row>
    <row r="734" spans="5:6">
      <c r="E734" s="2212"/>
      <c r="F734" s="1977"/>
    </row>
    <row r="735" spans="5:6">
      <c r="E735" s="2212"/>
      <c r="F735" s="1977"/>
    </row>
    <row r="736" spans="5:6">
      <c r="E736" s="2212"/>
      <c r="F736" s="1977"/>
    </row>
    <row r="737" spans="5:6">
      <c r="E737" s="2212"/>
      <c r="F737" s="1977"/>
    </row>
    <row r="738" spans="5:6">
      <c r="E738" s="2212"/>
      <c r="F738" s="1977"/>
    </row>
    <row r="739" spans="5:6">
      <c r="E739" s="2212"/>
      <c r="F739" s="1977"/>
    </row>
    <row r="740" spans="5:6">
      <c r="E740" s="2212"/>
      <c r="F740" s="1977"/>
    </row>
    <row r="741" spans="5:6">
      <c r="E741" s="2212"/>
      <c r="F741" s="1977"/>
    </row>
    <row r="742" spans="5:6">
      <c r="E742" s="2212"/>
      <c r="F742" s="1977"/>
    </row>
    <row r="743" spans="5:6">
      <c r="E743" s="2212"/>
      <c r="F743" s="1977"/>
    </row>
    <row r="744" spans="5:6">
      <c r="E744" s="2212"/>
      <c r="F744" s="1977"/>
    </row>
    <row r="745" spans="5:6">
      <c r="E745" s="2212"/>
      <c r="F745" s="1977"/>
    </row>
    <row r="746" spans="5:6">
      <c r="E746" s="2212"/>
      <c r="F746" s="1977"/>
    </row>
    <row r="747" spans="5:6">
      <c r="E747" s="2212"/>
      <c r="F747" s="1977"/>
    </row>
    <row r="748" spans="5:6">
      <c r="E748" s="2212"/>
      <c r="F748" s="1977"/>
    </row>
    <row r="749" spans="5:6">
      <c r="E749" s="2212"/>
      <c r="F749" s="1977"/>
    </row>
    <row r="750" spans="5:6">
      <c r="E750" s="2212"/>
      <c r="F750" s="1977"/>
    </row>
    <row r="751" spans="5:6">
      <c r="E751" s="2212"/>
      <c r="F751" s="1977"/>
    </row>
    <row r="752" spans="5:6">
      <c r="E752" s="2212"/>
      <c r="F752" s="1977"/>
    </row>
    <row r="753" spans="5:6">
      <c r="E753" s="2212"/>
      <c r="F753" s="1977"/>
    </row>
    <row r="754" spans="5:6">
      <c r="E754" s="2212"/>
      <c r="F754" s="1977"/>
    </row>
    <row r="755" spans="5:6">
      <c r="E755" s="2212"/>
      <c r="F755" s="1977"/>
    </row>
    <row r="756" spans="5:6">
      <c r="E756" s="2212"/>
      <c r="F756" s="1977"/>
    </row>
    <row r="757" spans="5:6">
      <c r="E757" s="2212"/>
      <c r="F757" s="1977"/>
    </row>
    <row r="758" spans="5:6">
      <c r="E758" s="2212"/>
      <c r="F758" s="1977"/>
    </row>
    <row r="759" spans="5:6">
      <c r="E759" s="2212"/>
      <c r="F759" s="1977"/>
    </row>
    <row r="760" spans="5:6">
      <c r="E760" s="2212"/>
      <c r="F760" s="1977"/>
    </row>
    <row r="761" spans="5:6">
      <c r="E761" s="2212"/>
      <c r="F761" s="1977"/>
    </row>
    <row r="762" spans="5:6">
      <c r="E762" s="2212"/>
      <c r="F762" s="1977"/>
    </row>
    <row r="763" spans="5:6">
      <c r="E763" s="2212"/>
      <c r="F763" s="1977"/>
    </row>
    <row r="764" spans="5:6">
      <c r="E764" s="2212"/>
      <c r="F764" s="1977"/>
    </row>
    <row r="765" spans="5:6">
      <c r="E765" s="2212"/>
      <c r="F765" s="1977"/>
    </row>
    <row r="766" spans="5:6">
      <c r="E766" s="2212"/>
      <c r="F766" s="1977"/>
    </row>
    <row r="767" spans="5:6">
      <c r="E767" s="2212"/>
      <c r="F767" s="1977"/>
    </row>
    <row r="768" spans="5:6">
      <c r="E768" s="2212"/>
      <c r="F768" s="1977"/>
    </row>
    <row r="769" spans="5:6">
      <c r="E769" s="2212"/>
      <c r="F769" s="1977"/>
    </row>
    <row r="770" spans="5:6">
      <c r="E770" s="2212"/>
      <c r="F770" s="1977"/>
    </row>
    <row r="771" spans="5:6">
      <c r="E771" s="2212"/>
      <c r="F771" s="1977"/>
    </row>
    <row r="772" spans="5:6">
      <c r="E772" s="2212"/>
      <c r="F772" s="1977"/>
    </row>
    <row r="773" spans="5:6">
      <c r="E773" s="2212"/>
      <c r="F773" s="1977"/>
    </row>
    <row r="774" spans="5:6">
      <c r="E774" s="2212"/>
      <c r="F774" s="1977"/>
    </row>
    <row r="775" spans="5:6">
      <c r="E775" s="2212"/>
      <c r="F775" s="1977"/>
    </row>
    <row r="776" spans="5:6">
      <c r="E776" s="2212"/>
      <c r="F776" s="1977"/>
    </row>
    <row r="777" spans="5:6">
      <c r="E777" s="2212"/>
      <c r="F777" s="1977"/>
    </row>
    <row r="778" spans="5:6">
      <c r="E778" s="2212"/>
      <c r="F778" s="1977"/>
    </row>
    <row r="779" spans="5:6">
      <c r="E779" s="2212"/>
      <c r="F779" s="1977"/>
    </row>
    <row r="780" spans="5:6">
      <c r="E780" s="2212"/>
      <c r="F780" s="1977"/>
    </row>
    <row r="781" spans="5:6">
      <c r="E781" s="2212"/>
      <c r="F781" s="1977"/>
    </row>
    <row r="782" spans="5:6">
      <c r="E782" s="2212"/>
      <c r="F782" s="1977"/>
    </row>
    <row r="783" spans="5:6">
      <c r="E783" s="2212"/>
      <c r="F783" s="1977"/>
    </row>
    <row r="784" spans="5:6">
      <c r="E784" s="2212"/>
      <c r="F784" s="1977"/>
    </row>
    <row r="785" spans="5:6">
      <c r="E785" s="2212"/>
      <c r="F785" s="1977"/>
    </row>
    <row r="786" spans="5:6">
      <c r="E786" s="2212"/>
      <c r="F786" s="1977"/>
    </row>
    <row r="787" spans="5:6">
      <c r="E787" s="2212"/>
      <c r="F787" s="1977"/>
    </row>
    <row r="788" spans="5:6">
      <c r="E788" s="2212"/>
      <c r="F788" s="1977"/>
    </row>
    <row r="789" spans="5:6">
      <c r="E789" s="2212"/>
      <c r="F789" s="1977"/>
    </row>
    <row r="790" spans="5:6">
      <c r="E790" s="2212"/>
      <c r="F790" s="1977"/>
    </row>
    <row r="791" spans="5:6">
      <c r="E791" s="2212"/>
      <c r="F791" s="1977"/>
    </row>
    <row r="792" spans="5:6">
      <c r="E792" s="2212"/>
      <c r="F792" s="1977"/>
    </row>
    <row r="793" spans="5:6">
      <c r="E793" s="2212"/>
      <c r="F793" s="1977"/>
    </row>
    <row r="794" spans="5:6">
      <c r="E794" s="2212"/>
      <c r="F794" s="1977"/>
    </row>
    <row r="795" spans="5:6">
      <c r="E795" s="2212"/>
      <c r="F795" s="1977"/>
    </row>
    <row r="796" spans="5:6">
      <c r="E796" s="2212"/>
      <c r="F796" s="1977"/>
    </row>
    <row r="797" spans="5:6">
      <c r="E797" s="2212"/>
      <c r="F797" s="1977"/>
    </row>
    <row r="798" spans="5:6">
      <c r="E798" s="2212"/>
      <c r="F798" s="1977"/>
    </row>
    <row r="799" spans="5:6">
      <c r="E799" s="2212"/>
      <c r="F799" s="1977"/>
    </row>
    <row r="800" spans="5:6">
      <c r="E800" s="2212"/>
      <c r="F800" s="1977"/>
    </row>
    <row r="801" spans="5:6">
      <c r="E801" s="2212"/>
      <c r="F801" s="1977"/>
    </row>
    <row r="802" spans="5:6">
      <c r="E802" s="2212"/>
      <c r="F802" s="1977"/>
    </row>
    <row r="803" spans="5:6">
      <c r="E803" s="2212"/>
      <c r="F803" s="1977"/>
    </row>
    <row r="804" spans="5:6">
      <c r="E804" s="2212"/>
      <c r="F804" s="1977"/>
    </row>
    <row r="805" spans="5:6">
      <c r="E805" s="2212"/>
      <c r="F805" s="1977"/>
    </row>
    <row r="806" spans="5:6">
      <c r="E806" s="2212"/>
      <c r="F806" s="1977"/>
    </row>
    <row r="807" spans="5:6">
      <c r="E807" s="2212"/>
      <c r="F807" s="1977"/>
    </row>
    <row r="808" spans="5:6">
      <c r="E808" s="2212"/>
      <c r="F808" s="1977"/>
    </row>
    <row r="809" spans="5:6">
      <c r="E809" s="2212"/>
      <c r="F809" s="1977"/>
    </row>
    <row r="810" spans="5:6">
      <c r="E810" s="2212"/>
      <c r="F810" s="1977"/>
    </row>
    <row r="811" spans="5:6">
      <c r="E811" s="2212"/>
      <c r="F811" s="1977"/>
    </row>
    <row r="812" spans="5:6">
      <c r="E812" s="2212"/>
      <c r="F812" s="1977"/>
    </row>
    <row r="813" spans="5:6">
      <c r="E813" s="2212"/>
      <c r="F813" s="1977"/>
    </row>
    <row r="814" spans="5:6">
      <c r="E814" s="2212"/>
      <c r="F814" s="1977"/>
    </row>
    <row r="815" spans="5:6">
      <c r="E815" s="2212"/>
      <c r="F815" s="1977"/>
    </row>
    <row r="816" spans="5:6">
      <c r="E816" s="2212"/>
      <c r="F816" s="1977"/>
    </row>
    <row r="817" spans="5:6">
      <c r="E817" s="2212"/>
      <c r="F817" s="1977"/>
    </row>
    <row r="818" spans="5:6">
      <c r="E818" s="2212"/>
      <c r="F818" s="1977"/>
    </row>
    <row r="819" spans="5:6">
      <c r="E819" s="2212"/>
      <c r="F819" s="1977"/>
    </row>
    <row r="820" spans="5:6">
      <c r="E820" s="2212"/>
      <c r="F820" s="1977"/>
    </row>
    <row r="821" spans="5:6">
      <c r="E821" s="2212"/>
      <c r="F821" s="1977"/>
    </row>
    <row r="822" spans="5:6">
      <c r="E822" s="2212"/>
      <c r="F822" s="1977"/>
    </row>
    <row r="823" spans="5:6">
      <c r="E823" s="2212"/>
      <c r="F823" s="1977"/>
    </row>
    <row r="824" spans="5:6">
      <c r="E824" s="2212"/>
      <c r="F824" s="1977"/>
    </row>
    <row r="825" spans="5:6">
      <c r="E825" s="2212"/>
      <c r="F825" s="1977"/>
    </row>
    <row r="826" spans="5:6">
      <c r="E826" s="2212"/>
      <c r="F826" s="1977"/>
    </row>
    <row r="827" spans="5:6">
      <c r="E827" s="2212"/>
      <c r="F827" s="1977"/>
    </row>
    <row r="828" spans="5:6">
      <c r="E828" s="2212"/>
      <c r="F828" s="1977"/>
    </row>
    <row r="829" spans="5:6">
      <c r="E829" s="2212"/>
      <c r="F829" s="1977"/>
    </row>
    <row r="830" spans="5:6">
      <c r="E830" s="2212"/>
      <c r="F830" s="1977"/>
    </row>
    <row r="831" spans="5:6">
      <c r="E831" s="2212"/>
      <c r="F831" s="1977"/>
    </row>
    <row r="832" spans="5:6">
      <c r="E832" s="2212"/>
      <c r="F832" s="1977"/>
    </row>
    <row r="833" spans="5:6">
      <c r="E833" s="2212"/>
      <c r="F833" s="1977"/>
    </row>
    <row r="834" spans="5:6">
      <c r="E834" s="2212"/>
      <c r="F834" s="1977"/>
    </row>
    <row r="835" spans="5:6">
      <c r="E835" s="2212"/>
      <c r="F835" s="1977"/>
    </row>
    <row r="836" spans="5:6">
      <c r="E836" s="2212"/>
      <c r="F836" s="1977"/>
    </row>
    <row r="837" spans="5:6">
      <c r="E837" s="2212"/>
      <c r="F837" s="1977"/>
    </row>
    <row r="838" spans="5:6">
      <c r="E838" s="2212"/>
      <c r="F838" s="1977"/>
    </row>
    <row r="839" spans="5:6">
      <c r="E839" s="2212"/>
      <c r="F839" s="1977"/>
    </row>
    <row r="840" spans="5:6">
      <c r="E840" s="2212"/>
      <c r="F840" s="1977"/>
    </row>
    <row r="841" spans="5:6">
      <c r="E841" s="2212"/>
      <c r="F841" s="1977"/>
    </row>
    <row r="842" spans="5:6">
      <c r="E842" s="2212"/>
      <c r="F842" s="1977"/>
    </row>
    <row r="843" spans="5:6">
      <c r="E843" s="2212"/>
      <c r="F843" s="1977"/>
    </row>
    <row r="844" spans="5:6">
      <c r="E844" s="2212"/>
      <c r="F844" s="1977"/>
    </row>
    <row r="845" spans="5:6">
      <c r="E845" s="2212"/>
      <c r="F845" s="1977"/>
    </row>
    <row r="846" spans="5:6">
      <c r="E846" s="2212"/>
      <c r="F846" s="1977"/>
    </row>
    <row r="847" spans="5:6">
      <c r="E847" s="2212"/>
      <c r="F847" s="1977"/>
    </row>
    <row r="848" spans="5:6">
      <c r="E848" s="2212"/>
      <c r="F848" s="1977"/>
    </row>
    <row r="849" spans="5:6">
      <c r="E849" s="2212"/>
      <c r="F849" s="1977"/>
    </row>
  </sheetData>
  <mergeCells count="109">
    <mergeCell ref="A155:A169"/>
    <mergeCell ref="A173:A185"/>
    <mergeCell ref="A187:A200"/>
    <mergeCell ref="A203:A212"/>
    <mergeCell ref="A214:A226"/>
    <mergeCell ref="C224:C227"/>
    <mergeCell ref="C211:C212"/>
    <mergeCell ref="X210:X212"/>
    <mergeCell ref="A230:A242"/>
    <mergeCell ref="Y230:Y242"/>
    <mergeCell ref="C232:C237"/>
    <mergeCell ref="X238:X242"/>
    <mergeCell ref="C239:C242"/>
    <mergeCell ref="C175:C180"/>
    <mergeCell ref="C184:C186"/>
    <mergeCell ref="C189:C195"/>
    <mergeCell ref="C207:C209"/>
    <mergeCell ref="C216:C222"/>
    <mergeCell ref="C199:C200"/>
    <mergeCell ref="X223:X229"/>
    <mergeCell ref="C197:C198"/>
    <mergeCell ref="C205:C206"/>
    <mergeCell ref="B273:B275"/>
    <mergeCell ref="A270:Y270"/>
    <mergeCell ref="A254:A257"/>
    <mergeCell ref="Y254:Y257"/>
    <mergeCell ref="Y244:Y253"/>
    <mergeCell ref="C248:C250"/>
    <mergeCell ref="C252:C253"/>
    <mergeCell ref="A262:A269"/>
    <mergeCell ref="Y262:Y269"/>
    <mergeCell ref="C268:C269"/>
    <mergeCell ref="X267:X269"/>
    <mergeCell ref="D262:W262"/>
    <mergeCell ref="Y258:Y261"/>
    <mergeCell ref="C260:C261"/>
    <mergeCell ref="D258:W258"/>
    <mergeCell ref="D254:W254"/>
    <mergeCell ref="X21:X26"/>
    <mergeCell ref="X33:X37"/>
    <mergeCell ref="C73:C74"/>
    <mergeCell ref="X80:X82"/>
    <mergeCell ref="A83:A92"/>
    <mergeCell ref="Y83:Y92"/>
    <mergeCell ref="C85:C86"/>
    <mergeCell ref="C91:C92"/>
    <mergeCell ref="X90:X92"/>
    <mergeCell ref="A60:A70"/>
    <mergeCell ref="Y60:Y70"/>
    <mergeCell ref="C62:C65"/>
    <mergeCell ref="C67:C70"/>
    <mergeCell ref="X66:X70"/>
    <mergeCell ref="Y49:Y59"/>
    <mergeCell ref="C51:C54"/>
    <mergeCell ref="C56:C59"/>
    <mergeCell ref="A49:A59"/>
    <mergeCell ref="X44:X48"/>
    <mergeCell ref="X55:X59"/>
    <mergeCell ref="A71:A82"/>
    <mergeCell ref="Y71:Y82"/>
    <mergeCell ref="A27:A37"/>
    <mergeCell ref="Y27:Y37"/>
    <mergeCell ref="C29:C32"/>
    <mergeCell ref="C34:C37"/>
    <mergeCell ref="C81:C82"/>
    <mergeCell ref="Y113:Y136"/>
    <mergeCell ref="X134:X136"/>
    <mergeCell ref="C135:C136"/>
    <mergeCell ref="C115:C126"/>
    <mergeCell ref="X99:X103"/>
    <mergeCell ref="X110:X112"/>
    <mergeCell ref="C40:C43"/>
    <mergeCell ref="C45:C48"/>
    <mergeCell ref="Y104:Y112"/>
    <mergeCell ref="C106:C109"/>
    <mergeCell ref="C111:C112"/>
    <mergeCell ref="A5:Y5"/>
    <mergeCell ref="B6:B8"/>
    <mergeCell ref="C6:C8"/>
    <mergeCell ref="D6:D8"/>
    <mergeCell ref="Y6:Y8"/>
    <mergeCell ref="X6:X8"/>
    <mergeCell ref="M6:M7"/>
    <mergeCell ref="O6:O7"/>
    <mergeCell ref="P6:W7"/>
    <mergeCell ref="A93:A103"/>
    <mergeCell ref="Y93:Y103"/>
    <mergeCell ref="C95:C98"/>
    <mergeCell ref="C100:C103"/>
    <mergeCell ref="A38:A48"/>
    <mergeCell ref="Y38:Y48"/>
    <mergeCell ref="C264:C266"/>
    <mergeCell ref="X251:X253"/>
    <mergeCell ref="C157:C164"/>
    <mergeCell ref="C166:C172"/>
    <mergeCell ref="X165:X172"/>
    <mergeCell ref="C182:C183"/>
    <mergeCell ref="X196:X202"/>
    <mergeCell ref="X181:X186"/>
    <mergeCell ref="A258:A261"/>
    <mergeCell ref="C256:C257"/>
    <mergeCell ref="A104:A112"/>
    <mergeCell ref="A113:A136"/>
    <mergeCell ref="A137:A154"/>
    <mergeCell ref="C153:C154"/>
    <mergeCell ref="C139:C144"/>
    <mergeCell ref="Y137:Y154"/>
    <mergeCell ref="X152:X154"/>
    <mergeCell ref="Y155:Y169"/>
  </mergeCells>
  <printOptions horizontalCentered="1"/>
  <pageMargins left="0.15748031496062992" right="0.15748031496062992" top="0.47244094488188981" bottom="0.31496062992125984" header="0.15748031496062992" footer="0.15748031496062992"/>
  <pageSetup paperSize="9" scale="71" firstPageNumber="46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</oddHeader>
    <oddFooter>&amp;C&amp;8&amp;P</oddFooter>
  </headerFooter>
  <rowBreaks count="1" manualBreakCount="1">
    <brk id="70" max="24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CI436"/>
  <sheetViews>
    <sheetView showGridLines="0" zoomScaleNormal="100" zoomScaleSheetLayoutView="100" workbookViewId="0">
      <pane xSplit="3" ySplit="7" topLeftCell="D55" activePane="bottomRight" state="frozen"/>
      <selection activeCell="U30" sqref="U30"/>
      <selection pane="topRight" activeCell="U30" sqref="U30"/>
      <selection pane="bottomLeft" activeCell="U30" sqref="U30"/>
      <selection pane="bottomRight" activeCell="A79" sqref="A79:Y90"/>
    </sheetView>
  </sheetViews>
  <sheetFormatPr defaultColWidth="9.140625" defaultRowHeight="11.25"/>
  <cols>
    <col min="1" max="1" width="4.140625" style="3038" customWidth="1"/>
    <col min="2" max="2" width="57" style="1991" customWidth="1"/>
    <col min="3" max="3" width="10.5703125" style="1991" customWidth="1"/>
    <col min="4" max="4" width="13.140625" style="1991" customWidth="1"/>
    <col min="5" max="5" width="11.28515625" style="1991" hidden="1" customWidth="1"/>
    <col min="6" max="6" width="11.42578125" style="1991" hidden="1" customWidth="1"/>
    <col min="7" max="7" width="9.85546875" style="1991" hidden="1" customWidth="1"/>
    <col min="8" max="8" width="9.7109375" style="1991" hidden="1" customWidth="1"/>
    <col min="9" max="9" width="11.5703125" style="1991" hidden="1" customWidth="1"/>
    <col min="10" max="10" width="9.28515625" style="1991" hidden="1" customWidth="1"/>
    <col min="11" max="11" width="10.42578125" style="1991" hidden="1" customWidth="1"/>
    <col min="12" max="12" width="10.140625" style="2586" hidden="1" customWidth="1"/>
    <col min="13" max="13" width="11.5703125" style="1991" customWidth="1"/>
    <col min="14" max="14" width="11.140625" style="1991" hidden="1" customWidth="1"/>
    <col min="15" max="15" width="11.28515625" style="1991" customWidth="1"/>
    <col min="16" max="16" width="10.28515625" style="1991" customWidth="1"/>
    <col min="17" max="23" width="8.28515625" style="1991" customWidth="1"/>
    <col min="24" max="24" width="12.42578125" style="1991" customWidth="1"/>
    <col min="25" max="25" width="15.28515625" style="2585" customWidth="1"/>
    <col min="26" max="26" width="3.28515625" style="1991" customWidth="1"/>
    <col min="27" max="27" width="13.42578125" style="1991" customWidth="1"/>
    <col min="28" max="44" width="18.28515625" style="1991" customWidth="1"/>
    <col min="45" max="86" width="3.28515625" style="1991" customWidth="1"/>
    <col min="87" max="16384" width="9.140625" style="1991"/>
  </cols>
  <sheetData>
    <row r="1" spans="1:87" s="2467" customFormat="1" ht="18" customHeight="1">
      <c r="A1" s="2927"/>
      <c r="B1" s="3040"/>
      <c r="C1" s="2927"/>
      <c r="D1" s="2927"/>
      <c r="E1" s="2928"/>
      <c r="F1" s="2927"/>
      <c r="G1" s="2927"/>
      <c r="H1" s="2927"/>
      <c r="I1" s="2927"/>
      <c r="J1" s="2927"/>
      <c r="K1" s="2927"/>
      <c r="L1" s="2927"/>
      <c r="M1" s="2927"/>
      <c r="N1" s="3028"/>
      <c r="O1" s="1979"/>
      <c r="P1" s="2927"/>
      <c r="Q1" s="2927"/>
      <c r="R1" s="1985" t="s">
        <v>371</v>
      </c>
      <c r="S1" s="1985"/>
      <c r="T1" s="1985"/>
      <c r="U1" s="1985"/>
      <c r="V1" s="1985"/>
      <c r="W1" s="1985"/>
      <c r="X1" s="331"/>
      <c r="Y1" s="332"/>
      <c r="Z1" s="2466"/>
      <c r="AA1" s="2466"/>
      <c r="AB1" s="2466"/>
      <c r="AC1" s="2466"/>
      <c r="AD1" s="2466"/>
      <c r="AE1" s="2466"/>
      <c r="AF1" s="2466"/>
      <c r="AG1" s="2466"/>
      <c r="AH1" s="2466"/>
      <c r="AI1" s="2466"/>
      <c r="AJ1" s="2466"/>
      <c r="AK1" s="2466"/>
      <c r="AL1" s="2466"/>
      <c r="AM1" s="2466"/>
      <c r="AN1" s="2466"/>
      <c r="AO1" s="2466"/>
      <c r="AP1" s="2466"/>
      <c r="AQ1" s="2466"/>
      <c r="AR1" s="2466"/>
      <c r="AS1" s="2466"/>
      <c r="AT1" s="2466"/>
      <c r="AU1" s="2466"/>
      <c r="AV1" s="2466"/>
      <c r="AW1" s="2466"/>
      <c r="AX1" s="2466"/>
      <c r="AY1" s="2466"/>
      <c r="AZ1" s="2466"/>
      <c r="BA1" s="2466"/>
      <c r="BB1" s="2466"/>
      <c r="BC1" s="2466"/>
      <c r="BD1" s="2466"/>
      <c r="BE1" s="2466"/>
      <c r="BF1" s="2466"/>
      <c r="BG1" s="2466"/>
      <c r="BH1" s="2466"/>
      <c r="BI1" s="2466"/>
      <c r="BJ1" s="2466"/>
      <c r="BK1" s="2466"/>
      <c r="BL1" s="2466"/>
      <c r="BM1" s="2466"/>
      <c r="BN1" s="2466"/>
      <c r="BO1" s="2466"/>
      <c r="BP1" s="2466"/>
      <c r="BQ1" s="2466"/>
      <c r="BR1" s="2466"/>
      <c r="BS1" s="2466"/>
      <c r="BT1" s="2466"/>
      <c r="BU1" s="2466"/>
      <c r="BV1" s="2466"/>
      <c r="BW1" s="2466"/>
      <c r="BX1" s="2466"/>
      <c r="BY1" s="2466"/>
      <c r="BZ1" s="2466"/>
      <c r="CA1" s="2466"/>
      <c r="CB1" s="2466"/>
      <c r="CC1" s="2466"/>
      <c r="CD1" s="2466"/>
      <c r="CE1" s="2466"/>
      <c r="CF1" s="2466"/>
      <c r="CG1" s="2466"/>
      <c r="CH1" s="2466"/>
      <c r="CI1" s="1990"/>
    </row>
    <row r="2" spans="1:87" s="2467" customFormat="1" ht="4.5" customHeight="1">
      <c r="A2" s="3041"/>
      <c r="B2" s="3040"/>
      <c r="C2" s="2927"/>
      <c r="D2" s="2929"/>
      <c r="E2" s="2928"/>
      <c r="F2" s="2927"/>
      <c r="G2" s="2927"/>
      <c r="H2" s="2927"/>
      <c r="I2" s="2927"/>
      <c r="J2" s="2927"/>
      <c r="K2" s="2927"/>
      <c r="L2" s="2927"/>
      <c r="M2" s="2927"/>
      <c r="N2" s="1986"/>
      <c r="O2" s="1986"/>
      <c r="P2" s="1986"/>
      <c r="Q2" s="1986"/>
      <c r="R2" s="1986"/>
      <c r="S2" s="1986"/>
      <c r="T2" s="1986"/>
      <c r="U2" s="1986"/>
      <c r="V2" s="1986"/>
      <c r="W2" s="1986"/>
      <c r="X2" s="331"/>
      <c r="Y2" s="332"/>
      <c r="Z2" s="2466"/>
      <c r="AA2" s="2466"/>
      <c r="AB2" s="2466"/>
      <c r="AC2" s="2466"/>
      <c r="AD2" s="2466"/>
      <c r="AE2" s="2466"/>
      <c r="AF2" s="2466"/>
      <c r="AG2" s="2466"/>
      <c r="AH2" s="2466"/>
      <c r="AI2" s="2466"/>
      <c r="AJ2" s="2466"/>
      <c r="AK2" s="2466"/>
      <c r="AL2" s="2466"/>
      <c r="AM2" s="2466"/>
      <c r="AN2" s="2466"/>
      <c r="AO2" s="2466"/>
      <c r="AP2" s="2466"/>
      <c r="AQ2" s="2466"/>
      <c r="AR2" s="2466"/>
      <c r="AS2" s="2466"/>
      <c r="AT2" s="2466"/>
      <c r="AU2" s="2466"/>
      <c r="AV2" s="2466"/>
      <c r="AW2" s="2466"/>
      <c r="AX2" s="2466"/>
      <c r="AY2" s="2466"/>
      <c r="AZ2" s="2466"/>
      <c r="BA2" s="2466"/>
      <c r="BB2" s="2466"/>
      <c r="BC2" s="2466"/>
      <c r="BD2" s="2466"/>
      <c r="BE2" s="2466"/>
      <c r="BF2" s="2466"/>
      <c r="BG2" s="2466"/>
      <c r="BH2" s="2466"/>
      <c r="BI2" s="2466"/>
      <c r="BJ2" s="2466"/>
      <c r="BK2" s="2466"/>
      <c r="BL2" s="2466"/>
      <c r="BM2" s="2466"/>
      <c r="BN2" s="2466"/>
      <c r="BO2" s="2466"/>
      <c r="BP2" s="2466"/>
      <c r="BQ2" s="2466"/>
      <c r="BR2" s="2466"/>
      <c r="BS2" s="2466"/>
      <c r="BT2" s="2466"/>
      <c r="BU2" s="2466"/>
      <c r="BV2" s="2466"/>
      <c r="BW2" s="2466"/>
      <c r="BX2" s="2466"/>
      <c r="BY2" s="2466"/>
      <c r="BZ2" s="2466"/>
      <c r="CA2" s="2466"/>
      <c r="CB2" s="2466"/>
      <c r="CC2" s="2466"/>
      <c r="CD2" s="2466"/>
      <c r="CE2" s="2466"/>
      <c r="CF2" s="2466"/>
      <c r="CG2" s="2466"/>
      <c r="CH2" s="2466"/>
      <c r="CI2" s="1990"/>
    </row>
    <row r="3" spans="1:87" s="2467" customFormat="1" ht="25.5" customHeight="1" thickBot="1">
      <c r="A3" s="2925" t="s">
        <v>233</v>
      </c>
      <c r="B3" s="2926"/>
      <c r="C3" s="2927"/>
      <c r="D3" s="2927"/>
      <c r="E3" s="2928"/>
      <c r="F3" s="2927"/>
      <c r="G3" s="2927"/>
      <c r="H3" s="2927"/>
      <c r="I3" s="2927"/>
      <c r="J3" s="2927"/>
      <c r="K3" s="2929"/>
      <c r="L3" s="2927"/>
      <c r="M3" s="2927"/>
      <c r="N3" s="2927"/>
      <c r="O3" s="2929"/>
      <c r="P3" s="2927"/>
      <c r="Q3" s="2927"/>
      <c r="R3" s="2927"/>
      <c r="S3" s="2927"/>
      <c r="T3" s="2927"/>
      <c r="U3" s="2927"/>
      <c r="V3" s="2927"/>
      <c r="W3" s="2927"/>
      <c r="X3" s="331"/>
      <c r="Y3" s="332"/>
      <c r="Z3" s="2466"/>
      <c r="AA3" s="2466"/>
      <c r="AB3" s="2466"/>
      <c r="AC3" s="2466"/>
      <c r="AD3" s="2466"/>
      <c r="AE3" s="2466"/>
      <c r="AF3" s="2466"/>
      <c r="AG3" s="2466"/>
      <c r="AH3" s="2466"/>
      <c r="AI3" s="2466"/>
      <c r="AJ3" s="2466"/>
      <c r="AK3" s="2466"/>
      <c r="AL3" s="2466"/>
      <c r="AM3" s="2466"/>
      <c r="AN3" s="2466"/>
      <c r="AO3" s="2466"/>
      <c r="AP3" s="2466"/>
      <c r="AQ3" s="2466"/>
      <c r="AR3" s="2466"/>
      <c r="AS3" s="2466"/>
      <c r="AT3" s="2466"/>
      <c r="AU3" s="2466"/>
      <c r="AV3" s="2466"/>
      <c r="AW3" s="2466"/>
      <c r="AX3" s="2466"/>
      <c r="AY3" s="2466"/>
      <c r="AZ3" s="2466"/>
      <c r="BA3" s="2466"/>
      <c r="BB3" s="2466"/>
      <c r="BC3" s="2466"/>
      <c r="BD3" s="2466"/>
      <c r="BE3" s="2466"/>
      <c r="BF3" s="2466"/>
      <c r="BG3" s="2466"/>
      <c r="BH3" s="2466"/>
      <c r="BI3" s="2466"/>
      <c r="BJ3" s="2466"/>
      <c r="BK3" s="2466"/>
      <c r="BL3" s="2466"/>
      <c r="BM3" s="2466"/>
      <c r="BN3" s="2466"/>
      <c r="BO3" s="2466"/>
      <c r="BP3" s="2466"/>
      <c r="BQ3" s="2466"/>
      <c r="BR3" s="2466"/>
      <c r="BS3" s="2466"/>
      <c r="BT3" s="2466"/>
      <c r="BU3" s="2466"/>
      <c r="BV3" s="2466"/>
      <c r="BW3" s="2466"/>
      <c r="BX3" s="2466"/>
      <c r="BY3" s="2466"/>
      <c r="BZ3" s="2466"/>
      <c r="CA3" s="2466"/>
      <c r="CB3" s="2466"/>
      <c r="CC3" s="2466"/>
      <c r="CD3" s="2466"/>
      <c r="CE3" s="2466"/>
      <c r="CF3" s="2466"/>
      <c r="CG3" s="2466"/>
      <c r="CH3" s="2466"/>
      <c r="CI3" s="1990"/>
    </row>
    <row r="4" spans="1:87" ht="40.5" customHeight="1" thickBot="1">
      <c r="A4" s="2930"/>
      <c r="B4" s="4538" t="s">
        <v>91</v>
      </c>
      <c r="C4" s="4539" t="s">
        <v>87</v>
      </c>
      <c r="D4" s="3928" t="s">
        <v>88</v>
      </c>
      <c r="E4" s="1690" t="s">
        <v>3</v>
      </c>
      <c r="F4" s="1691"/>
      <c r="G4" s="1691"/>
      <c r="H4" s="1691"/>
      <c r="I4" s="1691"/>
      <c r="J4" s="1691"/>
      <c r="K4" s="1691"/>
      <c r="L4" s="1691"/>
      <c r="M4" s="4195" t="s">
        <v>523</v>
      </c>
      <c r="N4" s="1691"/>
      <c r="O4" s="4197" t="s">
        <v>551</v>
      </c>
      <c r="P4" s="4199" t="s">
        <v>540</v>
      </c>
      <c r="Q4" s="4200"/>
      <c r="R4" s="4200"/>
      <c r="S4" s="4200"/>
      <c r="T4" s="4200"/>
      <c r="U4" s="4200"/>
      <c r="V4" s="4200"/>
      <c r="W4" s="4201"/>
      <c r="X4" s="4548" t="s">
        <v>468</v>
      </c>
      <c r="Y4" s="4406" t="s">
        <v>89</v>
      </c>
      <c r="Z4" s="1990"/>
      <c r="AA4" s="1990"/>
      <c r="AB4" s="1990"/>
      <c r="AC4" s="1990"/>
      <c r="AD4" s="1990"/>
      <c r="AE4" s="1990"/>
      <c r="AF4" s="1990"/>
      <c r="AG4" s="1990"/>
      <c r="AH4" s="1990"/>
      <c r="AI4" s="1990"/>
      <c r="AJ4" s="1990"/>
      <c r="AK4" s="1990"/>
      <c r="AL4" s="1990"/>
      <c r="AM4" s="1990"/>
      <c r="AN4" s="1990"/>
      <c r="AO4" s="1990"/>
      <c r="AP4" s="1990"/>
      <c r="AQ4" s="1990"/>
      <c r="AR4" s="1990"/>
      <c r="AS4" s="1990"/>
      <c r="AT4" s="1990"/>
      <c r="AU4" s="1990"/>
      <c r="AV4" s="1990"/>
      <c r="AW4" s="1990"/>
      <c r="AX4" s="1990"/>
      <c r="AY4" s="1990"/>
      <c r="AZ4" s="1990"/>
      <c r="BA4" s="1990"/>
      <c r="BB4" s="1990"/>
      <c r="BC4" s="1990"/>
      <c r="BD4" s="1990"/>
      <c r="BE4" s="1990"/>
      <c r="BF4" s="1990"/>
      <c r="BG4" s="1990"/>
      <c r="BH4" s="1990"/>
      <c r="BI4" s="1990"/>
      <c r="BJ4" s="1990"/>
      <c r="BK4" s="1990"/>
      <c r="BL4" s="1990"/>
      <c r="BM4" s="1990"/>
      <c r="BN4" s="1990"/>
      <c r="BO4" s="1990"/>
      <c r="BP4" s="1990"/>
      <c r="BQ4" s="1990"/>
      <c r="BR4" s="1990"/>
      <c r="BS4" s="1990"/>
      <c r="BT4" s="1990"/>
      <c r="BU4" s="1990"/>
      <c r="BV4" s="1990"/>
      <c r="BW4" s="1990"/>
      <c r="BX4" s="1990"/>
      <c r="BY4" s="1990"/>
      <c r="BZ4" s="1990"/>
      <c r="CA4" s="1990"/>
      <c r="CB4" s="1990"/>
      <c r="CC4" s="1990"/>
      <c r="CD4" s="1990"/>
      <c r="CE4" s="1990"/>
      <c r="CF4" s="1990"/>
      <c r="CG4" s="1990"/>
      <c r="CH4" s="1990"/>
      <c r="CI4" s="1990"/>
    </row>
    <row r="5" spans="1:87" ht="21.75" customHeight="1" thickBot="1">
      <c r="A5" s="2931" t="s">
        <v>90</v>
      </c>
      <c r="B5" s="4538"/>
      <c r="C5" s="4540"/>
      <c r="D5" s="3941"/>
      <c r="E5" s="1177"/>
      <c r="F5" s="1178"/>
      <c r="G5" s="1178"/>
      <c r="H5" s="1178"/>
      <c r="I5" s="1178"/>
      <c r="J5" s="1178"/>
      <c r="K5" s="1178"/>
      <c r="L5" s="1178"/>
      <c r="M5" s="4196"/>
      <c r="N5" s="1178"/>
      <c r="O5" s="4198"/>
      <c r="P5" s="4202"/>
      <c r="Q5" s="4203"/>
      <c r="R5" s="4203"/>
      <c r="S5" s="4203"/>
      <c r="T5" s="4203"/>
      <c r="U5" s="4203"/>
      <c r="V5" s="4203"/>
      <c r="W5" s="4204"/>
      <c r="X5" s="4549"/>
      <c r="Y5" s="4407"/>
      <c r="Z5" s="1990"/>
      <c r="AA5" s="1990"/>
      <c r="AB5" s="1990"/>
      <c r="AC5" s="1990"/>
      <c r="AD5" s="1990"/>
      <c r="AE5" s="1990"/>
      <c r="AF5" s="1990"/>
      <c r="AG5" s="1990"/>
      <c r="AH5" s="1990"/>
      <c r="AI5" s="1990"/>
      <c r="AJ5" s="1990"/>
      <c r="AK5" s="1990"/>
      <c r="AL5" s="1990"/>
      <c r="AM5" s="1990"/>
      <c r="AN5" s="1990"/>
      <c r="AO5" s="1990"/>
      <c r="AP5" s="1990"/>
      <c r="AQ5" s="1990"/>
      <c r="AR5" s="1990"/>
      <c r="AS5" s="1990"/>
      <c r="AT5" s="1990"/>
      <c r="AU5" s="1990"/>
      <c r="AV5" s="1990"/>
      <c r="AW5" s="1990"/>
      <c r="AX5" s="1990"/>
      <c r="AY5" s="1990"/>
      <c r="AZ5" s="1990"/>
      <c r="BA5" s="1990"/>
      <c r="BB5" s="1990"/>
      <c r="BC5" s="1990"/>
      <c r="BD5" s="1990"/>
      <c r="BE5" s="1990"/>
      <c r="BF5" s="1990"/>
      <c r="BG5" s="1990"/>
      <c r="BH5" s="1990"/>
      <c r="BI5" s="1990"/>
      <c r="BJ5" s="1990"/>
      <c r="BK5" s="1990"/>
      <c r="BL5" s="1990"/>
      <c r="BM5" s="1990"/>
      <c r="BN5" s="1990"/>
      <c r="BO5" s="1990"/>
      <c r="BP5" s="1990"/>
      <c r="BQ5" s="1990"/>
      <c r="BR5" s="1990"/>
      <c r="BS5" s="1990"/>
      <c r="BT5" s="1990"/>
      <c r="BU5" s="1990"/>
      <c r="BV5" s="1990"/>
      <c r="BW5" s="1990"/>
      <c r="BX5" s="1990"/>
      <c r="BY5" s="1990"/>
      <c r="BZ5" s="1990"/>
      <c r="CA5" s="1990"/>
      <c r="CB5" s="1990"/>
      <c r="CC5" s="1990"/>
      <c r="CD5" s="1990"/>
      <c r="CE5" s="1990"/>
      <c r="CF5" s="1990"/>
      <c r="CG5" s="1990"/>
      <c r="CH5" s="1990"/>
      <c r="CI5" s="1990"/>
    </row>
    <row r="6" spans="1:87" ht="30" customHeight="1" thickBot="1">
      <c r="A6" s="2931"/>
      <c r="B6" s="4538"/>
      <c r="C6" s="4541"/>
      <c r="D6" s="3942"/>
      <c r="E6" s="3027" t="s">
        <v>6</v>
      </c>
      <c r="F6" s="339" t="s">
        <v>7</v>
      </c>
      <c r="G6" s="339" t="s">
        <v>8</v>
      </c>
      <c r="H6" s="339" t="s">
        <v>9</v>
      </c>
      <c r="I6" s="3026" t="s">
        <v>10</v>
      </c>
      <c r="J6" s="3026" t="s">
        <v>11</v>
      </c>
      <c r="K6" s="3026" t="s">
        <v>12</v>
      </c>
      <c r="L6" s="3026" t="s">
        <v>13</v>
      </c>
      <c r="M6" s="1613" t="s">
        <v>489</v>
      </c>
      <c r="N6" s="3026" t="s">
        <v>14</v>
      </c>
      <c r="O6" s="3026" t="s">
        <v>15</v>
      </c>
      <c r="P6" s="3026" t="s">
        <v>16</v>
      </c>
      <c r="Q6" s="3026" t="s">
        <v>17</v>
      </c>
      <c r="R6" s="3026" t="s">
        <v>18</v>
      </c>
      <c r="S6" s="1997" t="s">
        <v>376</v>
      </c>
      <c r="T6" s="1997" t="s">
        <v>381</v>
      </c>
      <c r="U6" s="1997" t="s">
        <v>491</v>
      </c>
      <c r="V6" s="1997" t="s">
        <v>492</v>
      </c>
      <c r="W6" s="1997" t="s">
        <v>490</v>
      </c>
      <c r="X6" s="4550"/>
      <c r="Y6" s="4408"/>
      <c r="Z6" s="1990"/>
      <c r="AA6" s="1990"/>
      <c r="AB6" s="1990"/>
      <c r="AC6" s="1990"/>
      <c r="AD6" s="1990"/>
      <c r="AE6" s="1990"/>
      <c r="AF6" s="1990"/>
      <c r="AG6" s="1990"/>
      <c r="AH6" s="1990"/>
      <c r="AI6" s="1990"/>
      <c r="AJ6" s="1990"/>
      <c r="AK6" s="1990"/>
      <c r="AL6" s="1990"/>
      <c r="AM6" s="1990"/>
      <c r="AN6" s="1990"/>
      <c r="AO6" s="1990"/>
      <c r="AP6" s="1990"/>
      <c r="AQ6" s="1990"/>
      <c r="AR6" s="1990"/>
      <c r="AS6" s="1990"/>
      <c r="AT6" s="1990"/>
      <c r="AU6" s="1990"/>
      <c r="AV6" s="1990"/>
      <c r="AW6" s="1990"/>
      <c r="AX6" s="1990"/>
      <c r="AY6" s="1990"/>
      <c r="AZ6" s="1990"/>
      <c r="BA6" s="1990"/>
      <c r="BB6" s="1990"/>
      <c r="BC6" s="1990"/>
      <c r="BD6" s="1990"/>
      <c r="BE6" s="1990"/>
      <c r="BF6" s="1990"/>
      <c r="BG6" s="1990"/>
      <c r="BH6" s="1990"/>
      <c r="BI6" s="1990"/>
      <c r="BJ6" s="1990"/>
      <c r="BK6" s="1990"/>
      <c r="BL6" s="1990"/>
      <c r="BM6" s="1990"/>
      <c r="BN6" s="1990"/>
      <c r="BO6" s="1990"/>
      <c r="BP6" s="1990"/>
      <c r="BQ6" s="1990"/>
      <c r="BR6" s="1990"/>
      <c r="BS6" s="1990"/>
      <c r="BT6" s="1990"/>
      <c r="BU6" s="1990"/>
      <c r="BV6" s="1990"/>
      <c r="BW6" s="1990"/>
      <c r="BX6" s="1990"/>
      <c r="BY6" s="1990"/>
      <c r="BZ6" s="1990"/>
      <c r="CA6" s="1990"/>
      <c r="CB6" s="1990"/>
      <c r="CC6" s="1990"/>
      <c r="CD6" s="1990"/>
      <c r="CE6" s="1990"/>
      <c r="CF6" s="1990"/>
      <c r="CG6" s="1990"/>
      <c r="CH6" s="1990"/>
      <c r="CI6" s="1990"/>
    </row>
    <row r="7" spans="1:87" ht="14.25" customHeight="1">
      <c r="A7" s="2932">
        <v>1</v>
      </c>
      <c r="B7" s="2933">
        <v>2</v>
      </c>
      <c r="C7" s="2934" t="s">
        <v>148</v>
      </c>
      <c r="D7" s="2935" t="s">
        <v>149</v>
      </c>
      <c r="E7" s="2935"/>
      <c r="F7" s="2936"/>
      <c r="G7" s="2936"/>
      <c r="H7" s="2936"/>
      <c r="I7" s="2937"/>
      <c r="J7" s="2937"/>
      <c r="K7" s="2937"/>
      <c r="L7" s="2937"/>
      <c r="M7" s="2938">
        <v>5</v>
      </c>
      <c r="N7" s="2938" t="s">
        <v>493</v>
      </c>
      <c r="O7" s="2938">
        <v>6</v>
      </c>
      <c r="P7" s="2938">
        <v>7</v>
      </c>
      <c r="Q7" s="2938">
        <v>8</v>
      </c>
      <c r="R7" s="2938">
        <v>9</v>
      </c>
      <c r="S7" s="2938">
        <v>10</v>
      </c>
      <c r="T7" s="2938">
        <v>11</v>
      </c>
      <c r="U7" s="2938">
        <v>12</v>
      </c>
      <c r="V7" s="2938">
        <v>13</v>
      </c>
      <c r="W7" s="2938">
        <v>14</v>
      </c>
      <c r="X7" s="2939">
        <v>15</v>
      </c>
      <c r="Y7" s="2940">
        <v>16</v>
      </c>
      <c r="Z7" s="1990"/>
      <c r="AA7" s="1990"/>
      <c r="AB7" s="1990"/>
      <c r="AC7" s="1990"/>
      <c r="AD7" s="1990"/>
      <c r="AE7" s="1990"/>
      <c r="AF7" s="1990"/>
      <c r="AG7" s="1990"/>
      <c r="AH7" s="1990"/>
      <c r="AI7" s="1990"/>
      <c r="AJ7" s="1990"/>
      <c r="AK7" s="1990"/>
      <c r="AL7" s="1990"/>
      <c r="AM7" s="1990"/>
      <c r="AN7" s="1990"/>
      <c r="AO7" s="1990"/>
      <c r="AP7" s="1990"/>
      <c r="AQ7" s="1990"/>
      <c r="AR7" s="1990"/>
      <c r="AS7" s="1990"/>
      <c r="AT7" s="1990"/>
      <c r="AU7" s="1990"/>
      <c r="AV7" s="1990"/>
      <c r="AW7" s="1990"/>
      <c r="AX7" s="1990"/>
      <c r="AY7" s="1990"/>
      <c r="AZ7" s="1990"/>
      <c r="BA7" s="1990"/>
      <c r="BB7" s="1990"/>
      <c r="BC7" s="1990"/>
      <c r="BD7" s="1990"/>
      <c r="BE7" s="1990"/>
      <c r="BF7" s="1990"/>
      <c r="BG7" s="1990"/>
      <c r="BH7" s="1990"/>
      <c r="BI7" s="1990"/>
      <c r="BJ7" s="1990"/>
      <c r="BK7" s="1990"/>
      <c r="BL7" s="1990"/>
      <c r="BM7" s="1990"/>
      <c r="BN7" s="1990"/>
      <c r="BO7" s="1990"/>
      <c r="BP7" s="1990"/>
      <c r="BQ7" s="1990"/>
      <c r="BR7" s="1990"/>
      <c r="BS7" s="1990"/>
      <c r="BT7" s="1990"/>
      <c r="BU7" s="1990"/>
      <c r="BV7" s="1990"/>
      <c r="BW7" s="1990"/>
      <c r="BX7" s="1990"/>
      <c r="BY7" s="1990"/>
      <c r="BZ7" s="1990"/>
      <c r="CA7" s="1990"/>
      <c r="CB7" s="1990"/>
      <c r="CC7" s="1990"/>
      <c r="CD7" s="1990"/>
      <c r="CE7" s="1990"/>
      <c r="CF7" s="1990"/>
      <c r="CG7" s="1990"/>
      <c r="CH7" s="1990"/>
      <c r="CI7" s="1990"/>
    </row>
    <row r="8" spans="1:87" ht="14.25" customHeight="1">
      <c r="A8" s="2941"/>
      <c r="B8" s="2942" t="s">
        <v>92</v>
      </c>
      <c r="C8" s="2943"/>
      <c r="D8" s="2666">
        <f>+D10</f>
        <v>58510547</v>
      </c>
      <c r="E8" s="2666">
        <f t="shared" ref="E8:O8" si="0">+E10</f>
        <v>815947</v>
      </c>
      <c r="F8" s="2666">
        <f t="shared" si="0"/>
        <v>0</v>
      </c>
      <c r="G8" s="2666">
        <f t="shared" si="0"/>
        <v>0</v>
      </c>
      <c r="H8" s="2666">
        <f t="shared" si="0"/>
        <v>0</v>
      </c>
      <c r="I8" s="2666">
        <f t="shared" si="0"/>
        <v>1306315</v>
      </c>
      <c r="J8" s="2666">
        <f t="shared" si="0"/>
        <v>2257947</v>
      </c>
      <c r="K8" s="2666">
        <f t="shared" si="0"/>
        <v>5760142</v>
      </c>
      <c r="L8" s="2666">
        <f t="shared" si="0"/>
        <v>3742389</v>
      </c>
      <c r="M8" s="2666">
        <f t="shared" ref="M8:N8" si="1">+M10</f>
        <v>27825447</v>
      </c>
      <c r="N8" s="2666">
        <f t="shared" si="1"/>
        <v>13942707</v>
      </c>
      <c r="O8" s="2666">
        <f t="shared" si="0"/>
        <v>28405100</v>
      </c>
      <c r="P8" s="2666">
        <f t="shared" ref="P8:T8" si="2">+P10</f>
        <v>2280000</v>
      </c>
      <c r="Q8" s="2666">
        <f t="shared" si="2"/>
        <v>0</v>
      </c>
      <c r="R8" s="2666">
        <f t="shared" si="2"/>
        <v>0</v>
      </c>
      <c r="S8" s="2666">
        <f t="shared" si="2"/>
        <v>0</v>
      </c>
      <c r="T8" s="2666">
        <f t="shared" si="2"/>
        <v>0</v>
      </c>
      <c r="U8" s="2666">
        <f t="shared" ref="U8:W8" si="3">+U10</f>
        <v>0</v>
      </c>
      <c r="V8" s="2666">
        <f t="shared" si="3"/>
        <v>0</v>
      </c>
      <c r="W8" s="2666">
        <f t="shared" si="3"/>
        <v>0</v>
      </c>
      <c r="X8" s="742">
        <f>+X10</f>
        <v>2280000</v>
      </c>
      <c r="Y8" s="2944"/>
      <c r="Z8" s="1990"/>
      <c r="AA8" s="803">
        <f>+O8+P8+Q8+R8</f>
        <v>30685100</v>
      </c>
      <c r="AB8" s="1990"/>
      <c r="AC8" s="1990"/>
      <c r="AD8" s="1990"/>
      <c r="AE8" s="1990"/>
      <c r="AF8" s="1990"/>
      <c r="AG8" s="1990"/>
      <c r="AH8" s="1990"/>
      <c r="AI8" s="1990"/>
      <c r="AJ8" s="1990"/>
      <c r="AK8" s="1990"/>
      <c r="AL8" s="1990"/>
      <c r="AM8" s="1990"/>
      <c r="AN8" s="1990"/>
      <c r="AO8" s="1990"/>
      <c r="AP8" s="1990"/>
      <c r="AQ8" s="1990"/>
      <c r="AR8" s="1990"/>
      <c r="AS8" s="1990"/>
      <c r="AT8" s="1990"/>
      <c r="AU8" s="1990"/>
      <c r="AV8" s="1990"/>
      <c r="AW8" s="1990"/>
      <c r="AX8" s="1990"/>
      <c r="AY8" s="1990"/>
      <c r="AZ8" s="1990"/>
      <c r="BA8" s="1990"/>
      <c r="BB8" s="1990"/>
      <c r="BC8" s="1990"/>
      <c r="BD8" s="1990"/>
      <c r="BE8" s="1990"/>
      <c r="BF8" s="1990"/>
      <c r="BG8" s="1990"/>
      <c r="BH8" s="1990"/>
      <c r="BI8" s="1990"/>
      <c r="BJ8" s="1990"/>
      <c r="BK8" s="1990"/>
      <c r="BL8" s="1990"/>
      <c r="BM8" s="1990"/>
      <c r="BN8" s="1990"/>
      <c r="BO8" s="1990"/>
      <c r="BP8" s="1990"/>
      <c r="BQ8" s="1990"/>
      <c r="BR8" s="1990"/>
      <c r="BS8" s="1990"/>
      <c r="BT8" s="1990"/>
      <c r="BU8" s="1990"/>
      <c r="BV8" s="1990"/>
      <c r="BW8" s="1990"/>
      <c r="BX8" s="1990"/>
      <c r="BY8" s="1990"/>
      <c r="BZ8" s="1990"/>
      <c r="CA8" s="1990"/>
      <c r="CB8" s="1990"/>
      <c r="CC8" s="1990"/>
      <c r="CD8" s="1990"/>
      <c r="CE8" s="1990"/>
      <c r="CF8" s="1990"/>
      <c r="CG8" s="1990"/>
      <c r="CH8" s="1990"/>
      <c r="CI8" s="1990"/>
    </row>
    <row r="9" spans="1:87" ht="14.25" customHeight="1">
      <c r="A9" s="2941"/>
      <c r="B9" s="2945" t="s">
        <v>93</v>
      </c>
      <c r="C9" s="2946"/>
      <c r="D9" s="995">
        <v>0</v>
      </c>
      <c r="E9" s="995">
        <v>0</v>
      </c>
      <c r="F9" s="995">
        <v>0</v>
      </c>
      <c r="G9" s="995">
        <v>0</v>
      </c>
      <c r="H9" s="995">
        <v>0</v>
      </c>
      <c r="I9" s="995">
        <v>0</v>
      </c>
      <c r="J9" s="995">
        <v>0</v>
      </c>
      <c r="K9" s="995">
        <v>0</v>
      </c>
      <c r="L9" s="995">
        <v>0</v>
      </c>
      <c r="M9" s="995">
        <v>0</v>
      </c>
      <c r="N9" s="995">
        <v>0</v>
      </c>
      <c r="O9" s="995">
        <v>0</v>
      </c>
      <c r="P9" s="995">
        <v>0</v>
      </c>
      <c r="Q9" s="995">
        <v>0</v>
      </c>
      <c r="R9" s="995">
        <v>0</v>
      </c>
      <c r="S9" s="995">
        <v>0</v>
      </c>
      <c r="T9" s="995">
        <v>0</v>
      </c>
      <c r="U9" s="995">
        <v>0</v>
      </c>
      <c r="V9" s="995">
        <v>0</v>
      </c>
      <c r="W9" s="995">
        <v>0</v>
      </c>
      <c r="X9" s="354">
        <v>0</v>
      </c>
      <c r="Y9" s="2944"/>
      <c r="Z9" s="1990"/>
      <c r="AA9" s="1990"/>
      <c r="AB9" s="1990"/>
      <c r="AC9" s="1990"/>
      <c r="AD9" s="1990"/>
      <c r="AE9" s="1990"/>
      <c r="AF9" s="1990"/>
      <c r="AG9" s="1990"/>
      <c r="AH9" s="1990"/>
      <c r="AI9" s="1990"/>
      <c r="AJ9" s="1990"/>
      <c r="AK9" s="1990"/>
      <c r="AL9" s="1990"/>
      <c r="AM9" s="1990"/>
      <c r="AN9" s="1990"/>
      <c r="AO9" s="1990"/>
      <c r="AP9" s="1990"/>
      <c r="AQ9" s="1990"/>
      <c r="AR9" s="1990"/>
      <c r="AS9" s="1990"/>
      <c r="AT9" s="1990"/>
      <c r="AU9" s="1990"/>
      <c r="AV9" s="1990"/>
      <c r="AW9" s="1990"/>
      <c r="AX9" s="1990"/>
      <c r="AY9" s="1990"/>
      <c r="AZ9" s="1990"/>
      <c r="BA9" s="1990"/>
      <c r="BB9" s="1990"/>
      <c r="BC9" s="1990"/>
      <c r="BD9" s="1990"/>
      <c r="BE9" s="1990"/>
      <c r="BF9" s="1990"/>
      <c r="BG9" s="1990"/>
      <c r="BH9" s="1990"/>
      <c r="BI9" s="1990"/>
      <c r="BJ9" s="1990"/>
      <c r="BK9" s="1990"/>
      <c r="BL9" s="1990"/>
      <c r="BM9" s="1990"/>
      <c r="BN9" s="1990"/>
      <c r="BO9" s="1990"/>
      <c r="BP9" s="1990"/>
      <c r="BQ9" s="1990"/>
      <c r="BR9" s="1990"/>
      <c r="BS9" s="1990"/>
      <c r="BT9" s="1990"/>
      <c r="BU9" s="1990"/>
      <c r="BV9" s="1990"/>
      <c r="BW9" s="1990"/>
      <c r="BX9" s="1990"/>
      <c r="BY9" s="1990"/>
      <c r="BZ9" s="1990"/>
      <c r="CA9" s="1990"/>
      <c r="CB9" s="1990"/>
      <c r="CC9" s="1990"/>
      <c r="CD9" s="1990"/>
      <c r="CE9" s="1990"/>
      <c r="CF9" s="1990"/>
      <c r="CG9" s="1990"/>
      <c r="CH9" s="1990"/>
      <c r="CI9" s="1990"/>
    </row>
    <row r="10" spans="1:87" ht="14.25" customHeight="1" thickBot="1">
      <c r="A10" s="2941"/>
      <c r="B10" s="2947" t="s">
        <v>21</v>
      </c>
      <c r="C10" s="2948"/>
      <c r="D10" s="1018">
        <f>+D25+D35+D46+D58+D71+D83</f>
        <v>58510547</v>
      </c>
      <c r="E10" s="1018">
        <f>+E25+E35+E46+E58+E71+E83</f>
        <v>815947</v>
      </c>
      <c r="F10" s="1018">
        <f>+F25+F35+F46+F58+F71+F83</f>
        <v>0</v>
      </c>
      <c r="G10" s="1018">
        <f>+G25+G35+G46+G58+G71+G83</f>
        <v>0</v>
      </c>
      <c r="H10" s="1018">
        <f>+H25+H35+H46+H58+H71+H83</f>
        <v>0</v>
      </c>
      <c r="I10" s="1018">
        <f t="shared" ref="I10:O10" si="4">+I25+I35+I46+I58+I71+I83</f>
        <v>1306315</v>
      </c>
      <c r="J10" s="1018">
        <f t="shared" si="4"/>
        <v>2257947</v>
      </c>
      <c r="K10" s="1018">
        <f t="shared" si="4"/>
        <v>5760142</v>
      </c>
      <c r="L10" s="1018">
        <f t="shared" si="4"/>
        <v>3742389</v>
      </c>
      <c r="M10" s="1018">
        <f t="shared" ref="M10:N10" si="5">+M25+M35+M46+M58+M71+M83</f>
        <v>27825447</v>
      </c>
      <c r="N10" s="1018">
        <f t="shared" si="5"/>
        <v>13942707</v>
      </c>
      <c r="O10" s="1018">
        <f t="shared" si="4"/>
        <v>28405100</v>
      </c>
      <c r="P10" s="1018">
        <f t="shared" ref="P10:T10" si="6">+P25+P35+P46+P58+P71+P83</f>
        <v>2280000</v>
      </c>
      <c r="Q10" s="1018">
        <f t="shared" si="6"/>
        <v>0</v>
      </c>
      <c r="R10" s="1018">
        <f t="shared" si="6"/>
        <v>0</v>
      </c>
      <c r="S10" s="1018">
        <f t="shared" si="6"/>
        <v>0</v>
      </c>
      <c r="T10" s="1018">
        <f t="shared" si="6"/>
        <v>0</v>
      </c>
      <c r="U10" s="1018">
        <f t="shared" ref="U10:W10" si="7">+U25+U35+U46+U58+U71+U83</f>
        <v>0</v>
      </c>
      <c r="V10" s="1018">
        <f t="shared" si="7"/>
        <v>0</v>
      </c>
      <c r="W10" s="1018">
        <f t="shared" si="7"/>
        <v>0</v>
      </c>
      <c r="X10" s="744">
        <f>+X25+X35+X46+X58+X71+X83</f>
        <v>2280000</v>
      </c>
      <c r="Y10" s="2944"/>
      <c r="Z10" s="1990"/>
      <c r="AA10" s="1990"/>
      <c r="AB10" s="1990"/>
      <c r="AC10" s="1990"/>
      <c r="AD10" s="1990"/>
      <c r="AE10" s="1990"/>
      <c r="AF10" s="1990"/>
      <c r="AG10" s="1990"/>
      <c r="AH10" s="1990"/>
      <c r="AI10" s="1990"/>
      <c r="AJ10" s="1990"/>
      <c r="AK10" s="1990"/>
      <c r="AL10" s="1990"/>
      <c r="AM10" s="1990"/>
      <c r="AN10" s="1990"/>
      <c r="AO10" s="1990"/>
      <c r="AP10" s="1990"/>
      <c r="AQ10" s="1990"/>
      <c r="AR10" s="1990"/>
      <c r="AS10" s="1990"/>
      <c r="AT10" s="1990"/>
      <c r="AU10" s="1990"/>
      <c r="AV10" s="1990"/>
      <c r="AW10" s="1990"/>
      <c r="AX10" s="1990"/>
      <c r="AY10" s="1990"/>
      <c r="AZ10" s="1990"/>
      <c r="BA10" s="1990"/>
      <c r="BB10" s="1990"/>
      <c r="BC10" s="1990"/>
      <c r="BD10" s="1990"/>
      <c r="BE10" s="1990"/>
      <c r="BF10" s="1990"/>
      <c r="BG10" s="1990"/>
      <c r="BH10" s="1990"/>
      <c r="BI10" s="1990"/>
      <c r="BJ10" s="1990"/>
      <c r="BK10" s="1990"/>
      <c r="BL10" s="1990"/>
      <c r="BM10" s="1990"/>
      <c r="BN10" s="1990"/>
      <c r="BO10" s="1990"/>
      <c r="BP10" s="1990"/>
      <c r="BQ10" s="1990"/>
      <c r="BR10" s="1990"/>
      <c r="BS10" s="1990"/>
      <c r="BT10" s="1990"/>
      <c r="BU10" s="1990"/>
      <c r="BV10" s="1990"/>
      <c r="BW10" s="1990"/>
      <c r="BX10" s="1990"/>
      <c r="BY10" s="1990"/>
      <c r="BZ10" s="1990"/>
      <c r="CA10" s="1990"/>
      <c r="CB10" s="1990"/>
      <c r="CC10" s="1990"/>
      <c r="CD10" s="1990"/>
      <c r="CE10" s="1990"/>
      <c r="CF10" s="1990"/>
      <c r="CG10" s="1990"/>
      <c r="CH10" s="1990"/>
      <c r="CI10" s="1990"/>
    </row>
    <row r="11" spans="1:87" s="3042" customFormat="1" ht="16.5" customHeight="1">
      <c r="A11" s="2941"/>
      <c r="B11" s="2949" t="s">
        <v>22</v>
      </c>
      <c r="C11" s="2949"/>
      <c r="D11" s="2320">
        <f>+D12+D15</f>
        <v>143614831</v>
      </c>
      <c r="E11" s="2320">
        <f>+E12+E15</f>
        <v>843563</v>
      </c>
      <c r="F11" s="2320">
        <f t="shared" ref="F11:O11" si="8">+F12+F15</f>
        <v>0</v>
      </c>
      <c r="G11" s="2320">
        <f t="shared" si="8"/>
        <v>0</v>
      </c>
      <c r="H11" s="2320">
        <f t="shared" si="8"/>
        <v>0</v>
      </c>
      <c r="I11" s="2320">
        <f t="shared" si="8"/>
        <v>1517797</v>
      </c>
      <c r="J11" s="2320">
        <f t="shared" si="8"/>
        <v>2354759</v>
      </c>
      <c r="K11" s="2320">
        <f t="shared" si="8"/>
        <v>11724676</v>
      </c>
      <c r="L11" s="2320">
        <f t="shared" si="8"/>
        <v>9561075</v>
      </c>
      <c r="M11" s="2320">
        <f t="shared" ref="M11:N11" si="9">+M12+M15</f>
        <v>48246093</v>
      </c>
      <c r="N11" s="2320">
        <f t="shared" si="9"/>
        <v>22179225</v>
      </c>
      <c r="O11" s="2320">
        <f t="shared" si="8"/>
        <v>91837413</v>
      </c>
      <c r="P11" s="2320">
        <f t="shared" ref="P11:T11" si="10">+P12+P15</f>
        <v>3531325</v>
      </c>
      <c r="Q11" s="2320">
        <f t="shared" si="10"/>
        <v>0</v>
      </c>
      <c r="R11" s="2320">
        <f t="shared" si="10"/>
        <v>0</v>
      </c>
      <c r="S11" s="2320">
        <f t="shared" si="10"/>
        <v>0</v>
      </c>
      <c r="T11" s="2320">
        <f t="shared" si="10"/>
        <v>0</v>
      </c>
      <c r="U11" s="2320">
        <f t="shared" ref="U11:W11" si="11">+U12+U15</f>
        <v>0</v>
      </c>
      <c r="V11" s="2320">
        <f t="shared" si="11"/>
        <v>0</v>
      </c>
      <c r="W11" s="2320">
        <f t="shared" si="11"/>
        <v>0</v>
      </c>
      <c r="X11" s="2158">
        <f>+X12</f>
        <v>2280000</v>
      </c>
      <c r="Y11" s="4542"/>
      <c r="Z11" s="1990"/>
      <c r="AA11" s="803"/>
      <c r="AB11" s="803">
        <f>+D23+D32+D44+D56+D68+D80</f>
        <v>143614831</v>
      </c>
      <c r="AC11" s="1990"/>
      <c r="AD11" s="1990"/>
      <c r="AE11" s="1990"/>
      <c r="AF11" s="1990"/>
      <c r="AG11" s="1990"/>
      <c r="AH11" s="1990"/>
      <c r="AI11" s="1990"/>
      <c r="AJ11" s="1990"/>
      <c r="AK11" s="1990"/>
      <c r="AL11" s="1990"/>
      <c r="AM11" s="1990"/>
      <c r="AN11" s="1990"/>
      <c r="AO11" s="1990"/>
      <c r="AP11" s="1990"/>
      <c r="AQ11" s="1990"/>
      <c r="AR11" s="1990"/>
      <c r="AS11" s="1990"/>
      <c r="AT11" s="1990"/>
      <c r="AU11" s="1990"/>
      <c r="AV11" s="1990"/>
      <c r="AW11" s="1990"/>
      <c r="AX11" s="1990"/>
      <c r="AY11" s="1990"/>
      <c r="AZ11" s="1990"/>
      <c r="BA11" s="1990"/>
      <c r="BB11" s="1990"/>
      <c r="BC11" s="1990"/>
      <c r="BD11" s="1990"/>
      <c r="BE11" s="1990"/>
      <c r="BF11" s="1990"/>
      <c r="BG11" s="1990"/>
      <c r="BH11" s="1990"/>
      <c r="BI11" s="1990"/>
      <c r="BJ11" s="1990"/>
      <c r="BK11" s="1990"/>
      <c r="BL11" s="1990"/>
      <c r="BM11" s="1990"/>
      <c r="BN11" s="1990"/>
      <c r="BO11" s="1990"/>
      <c r="BP11" s="1990"/>
      <c r="BQ11" s="1990"/>
      <c r="BR11" s="1990"/>
      <c r="BS11" s="1990"/>
      <c r="BT11" s="1990"/>
      <c r="BU11" s="1990"/>
      <c r="BV11" s="1990"/>
      <c r="BW11" s="1990"/>
      <c r="BX11" s="1990"/>
      <c r="BY11" s="1990"/>
      <c r="BZ11" s="1990"/>
      <c r="CA11" s="1990"/>
      <c r="CB11" s="1990"/>
      <c r="CC11" s="1990"/>
      <c r="CD11" s="1990"/>
      <c r="CE11" s="1990"/>
      <c r="CF11" s="1990"/>
      <c r="CG11" s="1990"/>
      <c r="CH11" s="1990"/>
      <c r="CI11" s="1990"/>
    </row>
    <row r="12" spans="1:87" s="3042" customFormat="1" ht="14.1" customHeight="1">
      <c r="A12" s="2941"/>
      <c r="B12" s="2950" t="s">
        <v>23</v>
      </c>
      <c r="C12" s="4544" t="s">
        <v>77</v>
      </c>
      <c r="D12" s="2951">
        <f>+D13+D14</f>
        <v>59485446</v>
      </c>
      <c r="E12" s="2951">
        <f t="shared" ref="E12:O12" si="12">+E13+E14</f>
        <v>843563</v>
      </c>
      <c r="F12" s="2951">
        <f t="shared" si="12"/>
        <v>0</v>
      </c>
      <c r="G12" s="2951">
        <f t="shared" si="12"/>
        <v>0</v>
      </c>
      <c r="H12" s="2951">
        <f t="shared" si="12"/>
        <v>0</v>
      </c>
      <c r="I12" s="2951">
        <f t="shared" si="12"/>
        <v>1517797</v>
      </c>
      <c r="J12" s="2951">
        <f t="shared" si="12"/>
        <v>2323137</v>
      </c>
      <c r="K12" s="2951">
        <f t="shared" si="12"/>
        <v>5764530</v>
      </c>
      <c r="L12" s="2951">
        <f t="shared" si="12"/>
        <v>3822421</v>
      </c>
      <c r="M12" s="2951">
        <f t="shared" ref="M12:N12" si="13">+M13+M14</f>
        <v>28654427</v>
      </c>
      <c r="N12" s="2951">
        <f t="shared" si="13"/>
        <v>14317981</v>
      </c>
      <c r="O12" s="2951">
        <f t="shared" si="12"/>
        <v>28551019</v>
      </c>
      <c r="P12" s="2951">
        <f t="shared" ref="P12:T12" si="14">+P13+P14</f>
        <v>2280000</v>
      </c>
      <c r="Q12" s="2951">
        <f t="shared" si="14"/>
        <v>0</v>
      </c>
      <c r="R12" s="2951">
        <f t="shared" si="14"/>
        <v>0</v>
      </c>
      <c r="S12" s="2951">
        <f t="shared" si="14"/>
        <v>0</v>
      </c>
      <c r="T12" s="2951">
        <f t="shared" si="14"/>
        <v>0</v>
      </c>
      <c r="U12" s="2951">
        <f t="shared" ref="U12:W12" si="15">+U13+U14</f>
        <v>0</v>
      </c>
      <c r="V12" s="2951">
        <f t="shared" si="15"/>
        <v>0</v>
      </c>
      <c r="W12" s="2951">
        <f t="shared" si="15"/>
        <v>0</v>
      </c>
      <c r="X12" s="2952">
        <f>+X14</f>
        <v>2280000</v>
      </c>
      <c r="Y12" s="4542"/>
      <c r="Z12" s="1990"/>
      <c r="AA12" s="803">
        <f t="shared" ref="AA12:AA17" si="16">+P12+O12+N12+L12+K12+J12+I12+E12</f>
        <v>59420448</v>
      </c>
      <c r="AB12" s="803">
        <f>+AB11-D11</f>
        <v>0</v>
      </c>
      <c r="AC12" s="1990"/>
      <c r="AD12" s="1990"/>
      <c r="AE12" s="1990"/>
      <c r="AF12" s="1990"/>
      <c r="AG12" s="1990"/>
      <c r="AH12" s="1990"/>
      <c r="AI12" s="1990"/>
      <c r="AJ12" s="1990"/>
      <c r="AK12" s="1990"/>
      <c r="AL12" s="1990"/>
      <c r="AM12" s="1990"/>
      <c r="AN12" s="1990"/>
      <c r="AO12" s="1990"/>
      <c r="AP12" s="1990"/>
      <c r="AQ12" s="1990"/>
      <c r="AR12" s="1990"/>
      <c r="AS12" s="1990"/>
      <c r="AT12" s="1990"/>
      <c r="AU12" s="1990"/>
      <c r="AV12" s="1990"/>
      <c r="AW12" s="1990"/>
      <c r="AX12" s="1990"/>
      <c r="AY12" s="1990"/>
      <c r="AZ12" s="1990"/>
      <c r="BA12" s="1990"/>
      <c r="BB12" s="1990"/>
      <c r="BC12" s="1990"/>
      <c r="BD12" s="1990"/>
      <c r="BE12" s="1990"/>
      <c r="BF12" s="1990"/>
      <c r="BG12" s="1990"/>
      <c r="BH12" s="1990"/>
      <c r="BI12" s="1990"/>
      <c r="BJ12" s="1990"/>
      <c r="BK12" s="1990"/>
      <c r="BL12" s="1990"/>
      <c r="BM12" s="1990"/>
      <c r="BN12" s="1990"/>
      <c r="BO12" s="1990"/>
      <c r="BP12" s="1990"/>
      <c r="BQ12" s="1990"/>
      <c r="BR12" s="1990"/>
      <c r="BS12" s="1990"/>
      <c r="BT12" s="1990"/>
      <c r="BU12" s="1990"/>
      <c r="BV12" s="1990"/>
      <c r="BW12" s="1990"/>
      <c r="BX12" s="1990"/>
      <c r="BY12" s="1990"/>
      <c r="BZ12" s="1990"/>
      <c r="CA12" s="1990"/>
      <c r="CB12" s="1990"/>
      <c r="CC12" s="1990"/>
      <c r="CD12" s="1990"/>
      <c r="CE12" s="1990"/>
      <c r="CF12" s="1990"/>
      <c r="CG12" s="1990"/>
      <c r="CH12" s="1990"/>
      <c r="CI12" s="1990"/>
    </row>
    <row r="13" spans="1:87" s="3042" customFormat="1" ht="12">
      <c r="A13" s="2941"/>
      <c r="B13" s="2953" t="s">
        <v>45</v>
      </c>
      <c r="C13" s="4544"/>
      <c r="D13" s="2954">
        <f>+D70+D34+D47+D59+D82</f>
        <v>974899</v>
      </c>
      <c r="E13" s="2954">
        <f t="shared" ref="E13:O13" si="17">+E70+E34+E47+E59+E82</f>
        <v>27616</v>
      </c>
      <c r="F13" s="2954">
        <f t="shared" si="17"/>
        <v>0</v>
      </c>
      <c r="G13" s="2954">
        <f t="shared" si="17"/>
        <v>0</v>
      </c>
      <c r="H13" s="2954">
        <f t="shared" si="17"/>
        <v>0</v>
      </c>
      <c r="I13" s="2954">
        <f t="shared" si="17"/>
        <v>211482</v>
      </c>
      <c r="J13" s="2954">
        <f t="shared" si="17"/>
        <v>65190</v>
      </c>
      <c r="K13" s="2954">
        <f t="shared" si="17"/>
        <v>4388</v>
      </c>
      <c r="L13" s="2954">
        <f t="shared" si="17"/>
        <v>80032</v>
      </c>
      <c r="M13" s="2954">
        <f t="shared" si="17"/>
        <v>828980</v>
      </c>
      <c r="N13" s="2954">
        <f t="shared" si="17"/>
        <v>375274</v>
      </c>
      <c r="O13" s="2954">
        <f t="shared" si="17"/>
        <v>145919</v>
      </c>
      <c r="P13" s="2954">
        <f t="shared" ref="P13:T13" si="18">+P70+P34+P47+P59</f>
        <v>0</v>
      </c>
      <c r="Q13" s="2954">
        <f t="shared" si="18"/>
        <v>0</v>
      </c>
      <c r="R13" s="2954">
        <f t="shared" si="18"/>
        <v>0</v>
      </c>
      <c r="S13" s="2954">
        <f t="shared" si="18"/>
        <v>0</v>
      </c>
      <c r="T13" s="2954">
        <f t="shared" si="18"/>
        <v>0</v>
      </c>
      <c r="U13" s="2954">
        <f t="shared" ref="U13:W13" si="19">+U70+U34+U47+U59</f>
        <v>0</v>
      </c>
      <c r="V13" s="2954">
        <f t="shared" si="19"/>
        <v>0</v>
      </c>
      <c r="W13" s="2954">
        <f t="shared" si="19"/>
        <v>0</v>
      </c>
      <c r="X13" s="2955" t="s">
        <v>77</v>
      </c>
      <c r="Y13" s="4542"/>
      <c r="Z13" s="1990"/>
      <c r="AA13" s="803">
        <f t="shared" si="16"/>
        <v>909901</v>
      </c>
      <c r="AB13" s="1990"/>
      <c r="AC13" s="1990"/>
      <c r="AD13" s="1990"/>
      <c r="AE13" s="1990"/>
      <c r="AF13" s="1990"/>
      <c r="AG13" s="1990"/>
      <c r="AH13" s="1990"/>
      <c r="AI13" s="1990"/>
      <c r="AJ13" s="1990"/>
      <c r="AK13" s="1990"/>
      <c r="AL13" s="1990"/>
      <c r="AM13" s="1990"/>
      <c r="AN13" s="1990"/>
      <c r="AO13" s="1990"/>
      <c r="AP13" s="1990"/>
      <c r="AQ13" s="1990"/>
      <c r="AR13" s="1990"/>
      <c r="AS13" s="1990"/>
      <c r="AT13" s="1990"/>
      <c r="AU13" s="1990"/>
      <c r="AV13" s="1990"/>
      <c r="AW13" s="1990"/>
      <c r="AX13" s="1990"/>
      <c r="AY13" s="1990"/>
      <c r="AZ13" s="1990"/>
      <c r="BA13" s="1990"/>
      <c r="BB13" s="1990"/>
      <c r="BC13" s="1990"/>
      <c r="BD13" s="1990"/>
      <c r="BE13" s="1990"/>
      <c r="BF13" s="1990"/>
      <c r="BG13" s="1990"/>
      <c r="BH13" s="1990"/>
      <c r="BI13" s="1990"/>
      <c r="BJ13" s="1990"/>
      <c r="BK13" s="1990"/>
      <c r="BL13" s="1990"/>
      <c r="BM13" s="1990"/>
      <c r="BN13" s="1990"/>
      <c r="BO13" s="1990"/>
      <c r="BP13" s="1990"/>
      <c r="BQ13" s="1990"/>
      <c r="BR13" s="1990"/>
      <c r="BS13" s="1990"/>
      <c r="BT13" s="1990"/>
      <c r="BU13" s="1990"/>
      <c r="BV13" s="1990"/>
      <c r="BW13" s="1990"/>
      <c r="BX13" s="1990"/>
      <c r="BY13" s="1990"/>
      <c r="BZ13" s="1990"/>
      <c r="CA13" s="1990"/>
      <c r="CB13" s="1990"/>
      <c r="CC13" s="1990"/>
      <c r="CD13" s="1990"/>
      <c r="CE13" s="1990"/>
      <c r="CF13" s="1990"/>
      <c r="CG13" s="1990"/>
      <c r="CH13" s="1990"/>
      <c r="CI13" s="1990"/>
    </row>
    <row r="14" spans="1:87" s="3042" customFormat="1" ht="12">
      <c r="A14" s="2941"/>
      <c r="B14" s="2953" t="s">
        <v>234</v>
      </c>
      <c r="C14" s="4544"/>
      <c r="D14" s="2956">
        <f>+D25+D35+D46+D58+D83+D71</f>
        <v>58510547</v>
      </c>
      <c r="E14" s="2956">
        <f>+E25+E35+E46+E58+E83+E71</f>
        <v>815947</v>
      </c>
      <c r="F14" s="2956">
        <f>+F25+F35+F46+F58+F83+F71</f>
        <v>0</v>
      </c>
      <c r="G14" s="2956">
        <f>+G25+G35+G46+G58+G83+G71</f>
        <v>0</v>
      </c>
      <c r="H14" s="2956">
        <f>+H25+H35+H46+H58+H83+H71</f>
        <v>0</v>
      </c>
      <c r="I14" s="2956">
        <f t="shared" ref="I14:O14" si="20">+I25+I35+I46+I58+I83+I71</f>
        <v>1306315</v>
      </c>
      <c r="J14" s="2956">
        <f t="shared" si="20"/>
        <v>2257947</v>
      </c>
      <c r="K14" s="2956">
        <f t="shared" si="20"/>
        <v>5760142</v>
      </c>
      <c r="L14" s="2956">
        <f t="shared" si="20"/>
        <v>3742389</v>
      </c>
      <c r="M14" s="2956">
        <f t="shared" ref="M14:N14" si="21">+M25+M35+M46+M58+M83+M71</f>
        <v>27825447</v>
      </c>
      <c r="N14" s="2956">
        <f t="shared" si="21"/>
        <v>13942707</v>
      </c>
      <c r="O14" s="2956">
        <f t="shared" si="20"/>
        <v>28405100</v>
      </c>
      <c r="P14" s="2956">
        <f t="shared" ref="P14:T14" si="22">+P25+P35+P46+P58+P83+P71</f>
        <v>2280000</v>
      </c>
      <c r="Q14" s="2956">
        <f t="shared" si="22"/>
        <v>0</v>
      </c>
      <c r="R14" s="2956">
        <f t="shared" si="22"/>
        <v>0</v>
      </c>
      <c r="S14" s="2956">
        <f t="shared" si="22"/>
        <v>0</v>
      </c>
      <c r="T14" s="2956">
        <f t="shared" si="22"/>
        <v>0</v>
      </c>
      <c r="U14" s="2956">
        <f t="shared" ref="U14:W14" si="23">+U25+U35+U46+U58+U83+U71</f>
        <v>0</v>
      </c>
      <c r="V14" s="2956">
        <f t="shared" si="23"/>
        <v>0</v>
      </c>
      <c r="W14" s="2956">
        <f t="shared" si="23"/>
        <v>0</v>
      </c>
      <c r="X14" s="2957">
        <f>SUM(P14:T14)</f>
        <v>2280000</v>
      </c>
      <c r="Y14" s="4542"/>
      <c r="Z14" s="1990"/>
      <c r="AA14" s="803">
        <f t="shared" si="16"/>
        <v>58510547</v>
      </c>
      <c r="AB14" s="803"/>
      <c r="AC14" s="1990"/>
      <c r="AD14" s="1990"/>
      <c r="AE14" s="1990"/>
      <c r="AF14" s="1990"/>
      <c r="AG14" s="1990"/>
      <c r="AH14" s="1990"/>
      <c r="AI14" s="1990"/>
      <c r="AJ14" s="1990"/>
      <c r="AK14" s="1990"/>
      <c r="AL14" s="1990"/>
      <c r="AM14" s="1990"/>
      <c r="AN14" s="1990"/>
      <c r="AO14" s="1990"/>
      <c r="AP14" s="1990"/>
      <c r="AQ14" s="1990"/>
      <c r="AR14" s="1990"/>
      <c r="AS14" s="1990"/>
      <c r="AT14" s="1990"/>
      <c r="AU14" s="1990"/>
      <c r="AV14" s="1990"/>
      <c r="AW14" s="1990"/>
      <c r="AX14" s="1990"/>
      <c r="AY14" s="1990"/>
      <c r="AZ14" s="1990"/>
      <c r="BA14" s="1990"/>
      <c r="BB14" s="1990"/>
      <c r="BC14" s="1990"/>
      <c r="BD14" s="1990"/>
      <c r="BE14" s="1990"/>
      <c r="BF14" s="1990"/>
      <c r="BG14" s="1990"/>
      <c r="BH14" s="1990"/>
      <c r="BI14" s="1990"/>
      <c r="BJ14" s="1990"/>
      <c r="BK14" s="1990"/>
      <c r="BL14" s="1990"/>
      <c r="BM14" s="1990"/>
      <c r="BN14" s="1990"/>
      <c r="BO14" s="1990"/>
      <c r="BP14" s="1990"/>
      <c r="BQ14" s="1990"/>
      <c r="BR14" s="1990"/>
      <c r="BS14" s="1990"/>
      <c r="BT14" s="1990"/>
      <c r="BU14" s="1990"/>
      <c r="BV14" s="1990"/>
      <c r="BW14" s="1990"/>
      <c r="BX14" s="1990"/>
      <c r="BY14" s="1990"/>
      <c r="BZ14" s="1990"/>
      <c r="CA14" s="1990"/>
      <c r="CB14" s="1990"/>
      <c r="CC14" s="1990"/>
      <c r="CD14" s="1990"/>
      <c r="CE14" s="1990"/>
      <c r="CF14" s="1990"/>
      <c r="CG14" s="1990"/>
      <c r="CH14" s="1990"/>
      <c r="CI14" s="1990"/>
    </row>
    <row r="15" spans="1:87" s="3042" customFormat="1" ht="12">
      <c r="A15" s="2941"/>
      <c r="B15" s="2950" t="s">
        <v>30</v>
      </c>
      <c r="C15" s="4544"/>
      <c r="D15" s="2951">
        <f>+D16</f>
        <v>84129385</v>
      </c>
      <c r="E15" s="2951">
        <f>+E16</f>
        <v>0</v>
      </c>
      <c r="F15" s="2951">
        <f>F26+F36+F48+F84+F72</f>
        <v>0</v>
      </c>
      <c r="G15" s="2951">
        <f>G26+G36+G48+G84+G72</f>
        <v>0</v>
      </c>
      <c r="H15" s="2951">
        <f>H26+H36+H48+H84+H72</f>
        <v>0</v>
      </c>
      <c r="I15" s="2951">
        <f t="shared" ref="I15:W15" si="24">+I16</f>
        <v>0</v>
      </c>
      <c r="J15" s="2951">
        <f t="shared" si="24"/>
        <v>31622</v>
      </c>
      <c r="K15" s="2951">
        <f t="shared" si="24"/>
        <v>5960146</v>
      </c>
      <c r="L15" s="2951">
        <f t="shared" si="24"/>
        <v>5738654</v>
      </c>
      <c r="M15" s="2951">
        <f t="shared" si="24"/>
        <v>19591666</v>
      </c>
      <c r="N15" s="2951">
        <f t="shared" si="24"/>
        <v>7861244</v>
      </c>
      <c r="O15" s="2951">
        <f t="shared" si="24"/>
        <v>63286394</v>
      </c>
      <c r="P15" s="2951">
        <f t="shared" si="24"/>
        <v>1251325</v>
      </c>
      <c r="Q15" s="2951">
        <f t="shared" si="24"/>
        <v>0</v>
      </c>
      <c r="R15" s="2951">
        <f t="shared" si="24"/>
        <v>0</v>
      </c>
      <c r="S15" s="2951">
        <f t="shared" si="24"/>
        <v>0</v>
      </c>
      <c r="T15" s="2951">
        <f t="shared" si="24"/>
        <v>0</v>
      </c>
      <c r="U15" s="2951">
        <f t="shared" si="24"/>
        <v>0</v>
      </c>
      <c r="V15" s="2951">
        <f t="shared" si="24"/>
        <v>0</v>
      </c>
      <c r="W15" s="2951">
        <f t="shared" si="24"/>
        <v>0</v>
      </c>
      <c r="X15" s="2958" t="str">
        <f>+X16</f>
        <v>x</v>
      </c>
      <c r="Y15" s="4542"/>
      <c r="Z15" s="1990"/>
      <c r="AA15" s="803">
        <f t="shared" si="16"/>
        <v>84129385</v>
      </c>
      <c r="AB15" s="1990"/>
      <c r="AC15" s="1990"/>
      <c r="AD15" s="1990"/>
      <c r="AE15" s="1990"/>
      <c r="AF15" s="1990"/>
      <c r="AG15" s="1990"/>
      <c r="AH15" s="1990"/>
      <c r="AI15" s="1990"/>
      <c r="AJ15" s="1990"/>
      <c r="AK15" s="1990"/>
      <c r="AL15" s="1990"/>
      <c r="AM15" s="1990"/>
      <c r="AN15" s="1990"/>
      <c r="AO15" s="1990"/>
      <c r="AP15" s="1990"/>
      <c r="AQ15" s="1990"/>
      <c r="AR15" s="1990"/>
      <c r="AS15" s="1990"/>
      <c r="AT15" s="1990"/>
      <c r="AU15" s="1990"/>
      <c r="AV15" s="1990"/>
      <c r="AW15" s="1990"/>
      <c r="AX15" s="1990"/>
      <c r="AY15" s="1990"/>
      <c r="AZ15" s="1990"/>
      <c r="BA15" s="1990"/>
      <c r="BB15" s="1990"/>
      <c r="BC15" s="1990"/>
      <c r="BD15" s="1990"/>
      <c r="BE15" s="1990"/>
      <c r="BF15" s="1990"/>
      <c r="BG15" s="1990"/>
      <c r="BH15" s="1990"/>
      <c r="BI15" s="1990"/>
      <c r="BJ15" s="1990"/>
      <c r="BK15" s="1990"/>
      <c r="BL15" s="1990"/>
      <c r="BM15" s="1990"/>
      <c r="BN15" s="1990"/>
      <c r="BO15" s="1990"/>
      <c r="BP15" s="1990"/>
      <c r="BQ15" s="1990"/>
      <c r="BR15" s="1990"/>
      <c r="BS15" s="1990"/>
      <c r="BT15" s="1990"/>
      <c r="BU15" s="1990"/>
      <c r="BV15" s="1990"/>
      <c r="BW15" s="1990"/>
      <c r="BX15" s="1990"/>
      <c r="BY15" s="1990"/>
      <c r="BZ15" s="1990"/>
      <c r="CA15" s="1990"/>
      <c r="CB15" s="1990"/>
      <c r="CC15" s="1990"/>
      <c r="CD15" s="1990"/>
      <c r="CE15" s="1990"/>
      <c r="CF15" s="1990"/>
      <c r="CG15" s="1990"/>
      <c r="CH15" s="1990"/>
      <c r="CI15" s="1990"/>
    </row>
    <row r="16" spans="1:87" s="3042" customFormat="1" ht="12">
      <c r="A16" s="2941"/>
      <c r="B16" s="2959" t="s">
        <v>48</v>
      </c>
      <c r="C16" s="4544"/>
      <c r="D16" s="2956">
        <f t="shared" ref="D16:O16" si="25">D27+D37+D49+D73+D85+D61</f>
        <v>84129385</v>
      </c>
      <c r="E16" s="2956">
        <f t="shared" si="25"/>
        <v>0</v>
      </c>
      <c r="F16" s="2956">
        <f t="shared" si="25"/>
        <v>0</v>
      </c>
      <c r="G16" s="2956">
        <f t="shared" si="25"/>
        <v>0</v>
      </c>
      <c r="H16" s="2956">
        <f t="shared" si="25"/>
        <v>0</v>
      </c>
      <c r="I16" s="2956">
        <f t="shared" si="25"/>
        <v>0</v>
      </c>
      <c r="J16" s="2956">
        <f t="shared" si="25"/>
        <v>31622</v>
      </c>
      <c r="K16" s="2956">
        <f t="shared" si="25"/>
        <v>5960146</v>
      </c>
      <c r="L16" s="2956">
        <f t="shared" si="25"/>
        <v>5738654</v>
      </c>
      <c r="M16" s="2956">
        <f t="shared" ref="M16:N16" si="26">M27+M37+M49+M73+M85+M61</f>
        <v>19591666</v>
      </c>
      <c r="N16" s="2956">
        <f t="shared" si="26"/>
        <v>7861244</v>
      </c>
      <c r="O16" s="2956">
        <f t="shared" si="25"/>
        <v>63286394</v>
      </c>
      <c r="P16" s="2956">
        <f t="shared" ref="P16:T16" si="27">P27+P37+P49+P73+P85+P61</f>
        <v>1251325</v>
      </c>
      <c r="Q16" s="2956">
        <f t="shared" si="27"/>
        <v>0</v>
      </c>
      <c r="R16" s="2956">
        <f t="shared" si="27"/>
        <v>0</v>
      </c>
      <c r="S16" s="2956">
        <f t="shared" si="27"/>
        <v>0</v>
      </c>
      <c r="T16" s="2956">
        <f t="shared" si="27"/>
        <v>0</v>
      </c>
      <c r="U16" s="2956">
        <f t="shared" ref="U16:W16" si="28">U27+U37+U49+U73+U85+U61</f>
        <v>0</v>
      </c>
      <c r="V16" s="2956">
        <f t="shared" si="28"/>
        <v>0</v>
      </c>
      <c r="W16" s="2956">
        <f t="shared" si="28"/>
        <v>0</v>
      </c>
      <c r="X16" s="2960" t="s">
        <v>77</v>
      </c>
      <c r="Y16" s="4542"/>
      <c r="Z16" s="1990"/>
      <c r="AA16" s="803">
        <f t="shared" si="16"/>
        <v>84129385</v>
      </c>
      <c r="AB16" s="1990"/>
      <c r="AC16" s="1990"/>
      <c r="AD16" s="1990"/>
      <c r="AE16" s="1990"/>
      <c r="AF16" s="1990"/>
      <c r="AG16" s="1990"/>
      <c r="AH16" s="1990"/>
      <c r="AI16" s="1990"/>
      <c r="AJ16" s="1990"/>
      <c r="AK16" s="1990"/>
      <c r="AL16" s="1990"/>
      <c r="AM16" s="1990"/>
      <c r="AN16" s="1990"/>
      <c r="AO16" s="1990"/>
      <c r="AP16" s="1990"/>
      <c r="AQ16" s="1990"/>
      <c r="AR16" s="1990"/>
      <c r="AS16" s="1990"/>
      <c r="AT16" s="1990"/>
      <c r="AU16" s="1990"/>
      <c r="AV16" s="1990"/>
      <c r="AW16" s="1990"/>
      <c r="AX16" s="1990"/>
      <c r="AY16" s="1990"/>
      <c r="AZ16" s="1990"/>
      <c r="BA16" s="1990"/>
      <c r="BB16" s="1990"/>
      <c r="BC16" s="1990"/>
      <c r="BD16" s="1990"/>
      <c r="BE16" s="1990"/>
      <c r="BF16" s="1990"/>
      <c r="BG16" s="1990"/>
      <c r="BH16" s="1990"/>
      <c r="BI16" s="1990"/>
      <c r="BJ16" s="1990"/>
      <c r="BK16" s="1990"/>
      <c r="BL16" s="1990"/>
      <c r="BM16" s="1990"/>
      <c r="BN16" s="1990"/>
      <c r="BO16" s="1990"/>
      <c r="BP16" s="1990"/>
      <c r="BQ16" s="1990"/>
      <c r="BR16" s="1990"/>
      <c r="BS16" s="1990"/>
      <c r="BT16" s="1990"/>
      <c r="BU16" s="1990"/>
      <c r="BV16" s="1990"/>
      <c r="BW16" s="1990"/>
      <c r="BX16" s="1990"/>
      <c r="BY16" s="1990"/>
      <c r="BZ16" s="1990"/>
      <c r="CA16" s="1990"/>
      <c r="CB16" s="1990"/>
      <c r="CC16" s="1990"/>
      <c r="CD16" s="1990"/>
      <c r="CE16" s="1990"/>
      <c r="CF16" s="1990"/>
      <c r="CG16" s="1990"/>
      <c r="CH16" s="1990"/>
      <c r="CI16" s="1990"/>
    </row>
    <row r="17" spans="1:87" s="3042" customFormat="1" ht="12.75" customHeight="1">
      <c r="A17" s="2941"/>
      <c r="B17" s="2961" t="s">
        <v>34</v>
      </c>
      <c r="C17" s="2961"/>
      <c r="D17" s="2065">
        <f>+D18+D20</f>
        <v>109386899</v>
      </c>
      <c r="E17" s="2065">
        <f t="shared" ref="E17:O17" si="29">+E18+E20</f>
        <v>0</v>
      </c>
      <c r="F17" s="2065">
        <f t="shared" si="29"/>
        <v>0</v>
      </c>
      <c r="G17" s="2065">
        <f t="shared" si="29"/>
        <v>0</v>
      </c>
      <c r="H17" s="2065">
        <f t="shared" si="29"/>
        <v>0</v>
      </c>
      <c r="I17" s="2065">
        <f t="shared" si="29"/>
        <v>101937</v>
      </c>
      <c r="J17" s="2065">
        <f t="shared" si="29"/>
        <v>224050</v>
      </c>
      <c r="K17" s="2065">
        <f t="shared" si="29"/>
        <v>9142238</v>
      </c>
      <c r="L17" s="2065">
        <f t="shared" si="29"/>
        <v>6616804</v>
      </c>
      <c r="M17" s="2065">
        <f t="shared" ref="M17:N17" si="30">+M18+M20</f>
        <v>26497502</v>
      </c>
      <c r="N17" s="2065">
        <f t="shared" si="30"/>
        <v>10412473</v>
      </c>
      <c r="O17" s="2065">
        <f t="shared" si="29"/>
        <v>76117652</v>
      </c>
      <c r="P17" s="2065">
        <f t="shared" ref="P17:T17" si="31">+P18+P20</f>
        <v>6771745</v>
      </c>
      <c r="Q17" s="2065">
        <f t="shared" si="31"/>
        <v>0</v>
      </c>
      <c r="R17" s="2065">
        <f t="shared" si="31"/>
        <v>0</v>
      </c>
      <c r="S17" s="2065">
        <f t="shared" si="31"/>
        <v>0</v>
      </c>
      <c r="T17" s="2065">
        <f t="shared" si="31"/>
        <v>0</v>
      </c>
      <c r="U17" s="2065">
        <f t="shared" ref="U17:W17" si="32">+U18+U20</f>
        <v>0</v>
      </c>
      <c r="V17" s="2065">
        <f t="shared" si="32"/>
        <v>0</v>
      </c>
      <c r="W17" s="2065">
        <f t="shared" si="32"/>
        <v>0</v>
      </c>
      <c r="X17" s="4551" t="s">
        <v>77</v>
      </c>
      <c r="Y17" s="4542"/>
      <c r="Z17" s="1990"/>
      <c r="AA17" s="803">
        <f t="shared" si="16"/>
        <v>109386899</v>
      </c>
      <c r="AB17" s="1990"/>
      <c r="AC17" s="1990"/>
      <c r="AD17" s="1990"/>
      <c r="AE17" s="1990"/>
      <c r="AF17" s="1990"/>
      <c r="AG17" s="1990"/>
      <c r="AH17" s="1990"/>
      <c r="AI17" s="1990"/>
      <c r="AJ17" s="1990"/>
      <c r="AK17" s="1990"/>
      <c r="AL17" s="1990"/>
      <c r="AM17" s="1990"/>
      <c r="AN17" s="1990"/>
      <c r="AO17" s="1990"/>
      <c r="AP17" s="1990"/>
      <c r="AQ17" s="1990"/>
      <c r="AR17" s="1990"/>
      <c r="AS17" s="1990"/>
      <c r="AT17" s="1990"/>
      <c r="AU17" s="1990"/>
      <c r="AV17" s="1990"/>
      <c r="AW17" s="1990"/>
      <c r="AX17" s="1990"/>
      <c r="AY17" s="1990"/>
      <c r="AZ17" s="1990"/>
      <c r="BA17" s="1990"/>
      <c r="BB17" s="1990"/>
      <c r="BC17" s="1990"/>
      <c r="BD17" s="1990"/>
      <c r="BE17" s="1990"/>
      <c r="BF17" s="1990"/>
      <c r="BG17" s="1990"/>
      <c r="BH17" s="1990"/>
      <c r="BI17" s="1990"/>
      <c r="BJ17" s="1990"/>
      <c r="BK17" s="1990"/>
      <c r="BL17" s="1990"/>
      <c r="BM17" s="1990"/>
      <c r="BN17" s="1990"/>
      <c r="BO17" s="1990"/>
      <c r="BP17" s="1990"/>
      <c r="BQ17" s="1990"/>
      <c r="BR17" s="1990"/>
      <c r="BS17" s="1990"/>
      <c r="BT17" s="1990"/>
      <c r="BU17" s="1990"/>
      <c r="BV17" s="1990"/>
      <c r="BW17" s="1990"/>
      <c r="BX17" s="1990"/>
      <c r="BY17" s="1990"/>
      <c r="BZ17" s="1990"/>
      <c r="CA17" s="1990"/>
      <c r="CB17" s="1990"/>
      <c r="CC17" s="1990"/>
      <c r="CD17" s="1990"/>
      <c r="CE17" s="1990"/>
      <c r="CF17" s="1990"/>
      <c r="CG17" s="1990"/>
      <c r="CH17" s="1990"/>
      <c r="CI17" s="1990"/>
    </row>
    <row r="18" spans="1:87" s="3042" customFormat="1" ht="12">
      <c r="A18" s="2941"/>
      <c r="B18" s="2950" t="s">
        <v>36</v>
      </c>
      <c r="C18" s="4545" t="s">
        <v>77</v>
      </c>
      <c r="D18" s="2951">
        <f>+D19</f>
        <v>25257514</v>
      </c>
      <c r="E18" s="2951">
        <f>+E19</f>
        <v>0</v>
      </c>
      <c r="F18" s="2951">
        <f t="shared" ref="F18:H19" si="33">+F51+F87+F39+F63</f>
        <v>0</v>
      </c>
      <c r="G18" s="2951">
        <f t="shared" si="33"/>
        <v>0</v>
      </c>
      <c r="H18" s="2951">
        <f t="shared" si="33"/>
        <v>0</v>
      </c>
      <c r="I18" s="2951">
        <f t="shared" ref="I18:W18" si="34">+I19</f>
        <v>101937</v>
      </c>
      <c r="J18" s="2951">
        <f t="shared" si="34"/>
        <v>220330</v>
      </c>
      <c r="K18" s="2951">
        <f t="shared" si="34"/>
        <v>1345053</v>
      </c>
      <c r="L18" s="2951">
        <f t="shared" si="34"/>
        <v>2037072</v>
      </c>
      <c r="M18" s="2951">
        <f t="shared" si="34"/>
        <v>7082533</v>
      </c>
      <c r="N18" s="2951">
        <f t="shared" si="34"/>
        <v>3378141</v>
      </c>
      <c r="O18" s="2951">
        <f t="shared" si="34"/>
        <v>12654561</v>
      </c>
      <c r="P18" s="2951">
        <f t="shared" si="34"/>
        <v>5520420</v>
      </c>
      <c r="Q18" s="2951">
        <f t="shared" si="34"/>
        <v>0</v>
      </c>
      <c r="R18" s="2951">
        <f t="shared" si="34"/>
        <v>0</v>
      </c>
      <c r="S18" s="2951">
        <f t="shared" si="34"/>
        <v>0</v>
      </c>
      <c r="T18" s="2951">
        <f t="shared" si="34"/>
        <v>0</v>
      </c>
      <c r="U18" s="2951">
        <f t="shared" si="34"/>
        <v>0</v>
      </c>
      <c r="V18" s="2951">
        <f t="shared" si="34"/>
        <v>0</v>
      </c>
      <c r="W18" s="2951">
        <f t="shared" si="34"/>
        <v>0</v>
      </c>
      <c r="X18" s="4552"/>
      <c r="Y18" s="4542"/>
      <c r="Z18" s="1990"/>
      <c r="AA18" s="803"/>
      <c r="AB18" s="1990"/>
      <c r="AC18" s="1990"/>
      <c r="AD18" s="1990"/>
      <c r="AE18" s="1990"/>
      <c r="AF18" s="1990"/>
      <c r="AG18" s="1990"/>
      <c r="AH18" s="1990"/>
      <c r="AI18" s="1990"/>
      <c r="AJ18" s="1990"/>
      <c r="AK18" s="1990"/>
      <c r="AL18" s="1990"/>
      <c r="AM18" s="1990"/>
      <c r="AN18" s="1990"/>
      <c r="AO18" s="1990"/>
      <c r="AP18" s="1990"/>
      <c r="AQ18" s="1990"/>
      <c r="AR18" s="1990"/>
      <c r="AS18" s="1990"/>
      <c r="AT18" s="1990"/>
      <c r="AU18" s="1990"/>
      <c r="AV18" s="1990"/>
      <c r="AW18" s="1990"/>
      <c r="AX18" s="1990"/>
      <c r="AY18" s="1990"/>
      <c r="AZ18" s="1990"/>
      <c r="BA18" s="1990"/>
      <c r="BB18" s="1990"/>
      <c r="BC18" s="1990"/>
      <c r="BD18" s="1990"/>
      <c r="BE18" s="1990"/>
      <c r="BF18" s="1990"/>
      <c r="BG18" s="1990"/>
      <c r="BH18" s="1990"/>
      <c r="BI18" s="1990"/>
      <c r="BJ18" s="1990"/>
      <c r="BK18" s="1990"/>
      <c r="BL18" s="1990"/>
      <c r="BM18" s="1990"/>
      <c r="BN18" s="1990"/>
      <c r="BO18" s="1990"/>
      <c r="BP18" s="1990"/>
      <c r="BQ18" s="1990"/>
      <c r="BR18" s="1990"/>
      <c r="BS18" s="1990"/>
      <c r="BT18" s="1990"/>
      <c r="BU18" s="1990"/>
      <c r="BV18" s="1990"/>
      <c r="BW18" s="1990"/>
      <c r="BX18" s="1990"/>
      <c r="BY18" s="1990"/>
      <c r="BZ18" s="1990"/>
      <c r="CA18" s="1990"/>
      <c r="CB18" s="1990"/>
      <c r="CC18" s="1990"/>
      <c r="CD18" s="1990"/>
      <c r="CE18" s="1990"/>
      <c r="CF18" s="1990"/>
      <c r="CG18" s="1990"/>
      <c r="CH18" s="1990"/>
      <c r="CI18" s="1990"/>
    </row>
    <row r="19" spans="1:87" s="3042" customFormat="1" ht="12">
      <c r="A19" s="2941"/>
      <c r="B19" s="2959" t="s">
        <v>202</v>
      </c>
      <c r="C19" s="4546"/>
      <c r="D19" s="2956">
        <f>+D52+D88+D40+D64+D76</f>
        <v>25257514</v>
      </c>
      <c r="E19" s="2956">
        <f>+E52+E88+E40+E64+E76</f>
        <v>0</v>
      </c>
      <c r="F19" s="2956">
        <f t="shared" si="33"/>
        <v>0</v>
      </c>
      <c r="G19" s="2956">
        <f t="shared" si="33"/>
        <v>0</v>
      </c>
      <c r="H19" s="2956">
        <f t="shared" si="33"/>
        <v>0</v>
      </c>
      <c r="I19" s="2956">
        <f t="shared" ref="I19:O19" si="35">+I52+I88+I40+I64+I76</f>
        <v>101937</v>
      </c>
      <c r="J19" s="2956">
        <f t="shared" si="35"/>
        <v>220330</v>
      </c>
      <c r="K19" s="2956">
        <f t="shared" si="35"/>
        <v>1345053</v>
      </c>
      <c r="L19" s="2956">
        <f t="shared" si="35"/>
        <v>2037072</v>
      </c>
      <c r="M19" s="2956">
        <f t="shared" ref="M19:N19" si="36">+M52+M88+M40+M64+M76</f>
        <v>7082533</v>
      </c>
      <c r="N19" s="2956">
        <f t="shared" si="36"/>
        <v>3378141</v>
      </c>
      <c r="O19" s="2956">
        <f t="shared" si="35"/>
        <v>12654561</v>
      </c>
      <c r="P19" s="2956">
        <f t="shared" ref="P19:T19" si="37">+P52+P88+P40+P64+P76</f>
        <v>5520420</v>
      </c>
      <c r="Q19" s="2956">
        <f t="shared" si="37"/>
        <v>0</v>
      </c>
      <c r="R19" s="2956">
        <f t="shared" si="37"/>
        <v>0</v>
      </c>
      <c r="S19" s="2956">
        <f t="shared" si="37"/>
        <v>0</v>
      </c>
      <c r="T19" s="2956">
        <f t="shared" si="37"/>
        <v>0</v>
      </c>
      <c r="U19" s="2956">
        <f t="shared" ref="U19:W19" si="38">+U52+U88+U40+U64+U76</f>
        <v>0</v>
      </c>
      <c r="V19" s="2956">
        <f t="shared" si="38"/>
        <v>0</v>
      </c>
      <c r="W19" s="2956">
        <f t="shared" si="38"/>
        <v>0</v>
      </c>
      <c r="X19" s="4552"/>
      <c r="Y19" s="4542"/>
      <c r="Z19" s="1990"/>
      <c r="AA19" s="803"/>
      <c r="AB19" s="1990"/>
      <c r="AC19" s="1990"/>
      <c r="AD19" s="1990"/>
      <c r="AE19" s="1990"/>
      <c r="AF19" s="1990"/>
      <c r="AG19" s="1990"/>
      <c r="AH19" s="1990"/>
      <c r="AI19" s="1990"/>
      <c r="AJ19" s="1990"/>
      <c r="AK19" s="1990"/>
      <c r="AL19" s="1990"/>
      <c r="AM19" s="1990"/>
      <c r="AN19" s="1990"/>
      <c r="AO19" s="1990"/>
      <c r="AP19" s="1990"/>
      <c r="AQ19" s="1990"/>
      <c r="AR19" s="1990"/>
      <c r="AS19" s="1990"/>
      <c r="AT19" s="1990"/>
      <c r="AU19" s="1990"/>
      <c r="AV19" s="1990"/>
      <c r="AW19" s="1990"/>
      <c r="AX19" s="1990"/>
      <c r="AY19" s="1990"/>
      <c r="AZ19" s="1990"/>
      <c r="BA19" s="1990"/>
      <c r="BB19" s="1990"/>
      <c r="BC19" s="1990"/>
      <c r="BD19" s="1990"/>
      <c r="BE19" s="1990"/>
      <c r="BF19" s="1990"/>
      <c r="BG19" s="1990"/>
      <c r="BH19" s="1990"/>
      <c r="BI19" s="1990"/>
      <c r="BJ19" s="1990"/>
      <c r="BK19" s="1990"/>
      <c r="BL19" s="1990"/>
      <c r="BM19" s="1990"/>
      <c r="BN19" s="1990"/>
      <c r="BO19" s="1990"/>
      <c r="BP19" s="1990"/>
      <c r="BQ19" s="1990"/>
      <c r="BR19" s="1990"/>
      <c r="BS19" s="1990"/>
      <c r="BT19" s="1990"/>
      <c r="BU19" s="1990"/>
      <c r="BV19" s="1990"/>
      <c r="BW19" s="1990"/>
      <c r="BX19" s="1990"/>
      <c r="BY19" s="1990"/>
      <c r="BZ19" s="1990"/>
      <c r="CA19" s="1990"/>
      <c r="CB19" s="1990"/>
      <c r="CC19" s="1990"/>
      <c r="CD19" s="1990"/>
      <c r="CE19" s="1990"/>
      <c r="CF19" s="1990"/>
      <c r="CG19" s="1990"/>
      <c r="CH19" s="1990"/>
      <c r="CI19" s="1990"/>
    </row>
    <row r="20" spans="1:87" s="3042" customFormat="1" ht="12">
      <c r="A20" s="2941"/>
      <c r="B20" s="2962" t="s">
        <v>30</v>
      </c>
      <c r="C20" s="4546"/>
      <c r="D20" s="2963">
        <f>+D21</f>
        <v>84129385</v>
      </c>
      <c r="E20" s="2963">
        <f>+E21</f>
        <v>0</v>
      </c>
      <c r="F20" s="2963">
        <f>F29+F41+F53+F89+F77</f>
        <v>0</v>
      </c>
      <c r="G20" s="2963">
        <f>G29+G41+G53+G89+G77</f>
        <v>0</v>
      </c>
      <c r="H20" s="2963">
        <f>H29+H41+H53+H89+H77</f>
        <v>0</v>
      </c>
      <c r="I20" s="2963">
        <f t="shared" ref="I20:W20" si="39">+I21</f>
        <v>0</v>
      </c>
      <c r="J20" s="2963">
        <f t="shared" si="39"/>
        <v>3720</v>
      </c>
      <c r="K20" s="2963">
        <f t="shared" si="39"/>
        <v>7797185</v>
      </c>
      <c r="L20" s="2963">
        <f t="shared" si="39"/>
        <v>4579732</v>
      </c>
      <c r="M20" s="2963">
        <f t="shared" si="39"/>
        <v>19414969</v>
      </c>
      <c r="N20" s="2963">
        <f t="shared" si="39"/>
        <v>7034332</v>
      </c>
      <c r="O20" s="2963">
        <f t="shared" si="39"/>
        <v>63463091</v>
      </c>
      <c r="P20" s="2963">
        <f t="shared" si="39"/>
        <v>1251325</v>
      </c>
      <c r="Q20" s="2963">
        <f t="shared" si="39"/>
        <v>0</v>
      </c>
      <c r="R20" s="2963">
        <f t="shared" si="39"/>
        <v>0</v>
      </c>
      <c r="S20" s="2963">
        <f t="shared" si="39"/>
        <v>0</v>
      </c>
      <c r="T20" s="2963">
        <f t="shared" si="39"/>
        <v>0</v>
      </c>
      <c r="U20" s="2963">
        <f t="shared" si="39"/>
        <v>0</v>
      </c>
      <c r="V20" s="2963">
        <f t="shared" si="39"/>
        <v>0</v>
      </c>
      <c r="W20" s="2963">
        <f t="shared" si="39"/>
        <v>0</v>
      </c>
      <c r="X20" s="4552"/>
      <c r="Y20" s="4542"/>
      <c r="Z20" s="1990"/>
      <c r="AA20" s="803">
        <f>+P20+O20+N20+L20+K20+J20+I20+E20</f>
        <v>84129385</v>
      </c>
      <c r="AB20" s="1990"/>
      <c r="AC20" s="1990"/>
      <c r="AD20" s="1990"/>
      <c r="AE20" s="1990"/>
      <c r="AF20" s="1990"/>
      <c r="AG20" s="1990"/>
      <c r="AH20" s="1990"/>
      <c r="AI20" s="1990"/>
      <c r="AJ20" s="1990"/>
      <c r="AK20" s="1990"/>
      <c r="AL20" s="1990"/>
      <c r="AM20" s="1990"/>
      <c r="AN20" s="1990"/>
      <c r="AO20" s="1990"/>
      <c r="AP20" s="1990"/>
      <c r="AQ20" s="1990"/>
      <c r="AR20" s="1990"/>
      <c r="AS20" s="1990"/>
      <c r="AT20" s="1990"/>
      <c r="AU20" s="1990"/>
      <c r="AV20" s="1990"/>
      <c r="AW20" s="1990"/>
      <c r="AX20" s="1990"/>
      <c r="AY20" s="1990"/>
      <c r="AZ20" s="1990"/>
      <c r="BA20" s="1990"/>
      <c r="BB20" s="1990"/>
      <c r="BC20" s="1990"/>
      <c r="BD20" s="1990"/>
      <c r="BE20" s="1990"/>
      <c r="BF20" s="1990"/>
      <c r="BG20" s="1990"/>
      <c r="BH20" s="1990"/>
      <c r="BI20" s="1990"/>
      <c r="BJ20" s="1990"/>
      <c r="BK20" s="1990"/>
      <c r="BL20" s="1990"/>
      <c r="BM20" s="1990"/>
      <c r="BN20" s="1990"/>
      <c r="BO20" s="1990"/>
      <c r="BP20" s="1990"/>
      <c r="BQ20" s="1990"/>
      <c r="BR20" s="1990"/>
      <c r="BS20" s="1990"/>
      <c r="BT20" s="1990"/>
      <c r="BU20" s="1990"/>
      <c r="BV20" s="1990"/>
      <c r="BW20" s="1990"/>
      <c r="BX20" s="1990"/>
      <c r="BY20" s="1990"/>
      <c r="BZ20" s="1990"/>
      <c r="CA20" s="1990"/>
      <c r="CB20" s="1990"/>
      <c r="CC20" s="1990"/>
      <c r="CD20" s="1990"/>
      <c r="CE20" s="1990"/>
      <c r="CF20" s="1990"/>
      <c r="CG20" s="1990"/>
      <c r="CH20" s="1990"/>
      <c r="CI20" s="1990"/>
    </row>
    <row r="21" spans="1:87" s="3042" customFormat="1" ht="14.1" customHeight="1" thickBot="1">
      <c r="A21" s="2964"/>
      <c r="B21" s="1068" t="s">
        <v>48</v>
      </c>
      <c r="C21" s="4547"/>
      <c r="D21" s="2965">
        <f t="shared" ref="D21:O21" si="40">D30+D42+D54+D90+D78+D66</f>
        <v>84129385</v>
      </c>
      <c r="E21" s="2965">
        <f t="shared" si="40"/>
        <v>0</v>
      </c>
      <c r="F21" s="2965">
        <f t="shared" si="40"/>
        <v>0</v>
      </c>
      <c r="G21" s="2965">
        <f t="shared" si="40"/>
        <v>0</v>
      </c>
      <c r="H21" s="2965">
        <f t="shared" si="40"/>
        <v>0</v>
      </c>
      <c r="I21" s="2965">
        <f t="shared" si="40"/>
        <v>0</v>
      </c>
      <c r="J21" s="2965">
        <f t="shared" si="40"/>
        <v>3720</v>
      </c>
      <c r="K21" s="2965">
        <f t="shared" si="40"/>
        <v>7797185</v>
      </c>
      <c r="L21" s="2965">
        <f t="shared" si="40"/>
        <v>4579732</v>
      </c>
      <c r="M21" s="2965">
        <f t="shared" ref="M21:N21" si="41">M30+M42+M54+M90+M78+M66</f>
        <v>19414969</v>
      </c>
      <c r="N21" s="2965">
        <f t="shared" si="41"/>
        <v>7034332</v>
      </c>
      <c r="O21" s="2965">
        <f t="shared" si="40"/>
        <v>63463091</v>
      </c>
      <c r="P21" s="2965">
        <f t="shared" ref="P21:T21" si="42">P30+P42+P54+P90+P78+P66</f>
        <v>1251325</v>
      </c>
      <c r="Q21" s="2965">
        <f t="shared" si="42"/>
        <v>0</v>
      </c>
      <c r="R21" s="2965">
        <f t="shared" si="42"/>
        <v>0</v>
      </c>
      <c r="S21" s="2965">
        <f t="shared" si="42"/>
        <v>0</v>
      </c>
      <c r="T21" s="2965">
        <f t="shared" si="42"/>
        <v>0</v>
      </c>
      <c r="U21" s="2965">
        <f t="shared" ref="U21:W21" si="43">U30+U42+U54+U90+U78+U66</f>
        <v>0</v>
      </c>
      <c r="V21" s="2965">
        <f t="shared" si="43"/>
        <v>0</v>
      </c>
      <c r="W21" s="2965">
        <f t="shared" si="43"/>
        <v>0</v>
      </c>
      <c r="X21" s="4553"/>
      <c r="Y21" s="4543"/>
      <c r="Z21" s="1990"/>
      <c r="AA21" s="803">
        <f>+P21+O21+N21+L21+K21+J21+I21+E21</f>
        <v>84129385</v>
      </c>
      <c r="AB21" s="1990"/>
      <c r="AC21" s="1990"/>
      <c r="AD21" s="1990"/>
      <c r="AE21" s="1990"/>
      <c r="AF21" s="1990"/>
      <c r="AG21" s="1990"/>
      <c r="AH21" s="1990"/>
      <c r="AI21" s="1990"/>
      <c r="AJ21" s="1990"/>
      <c r="AK21" s="1990"/>
      <c r="AL21" s="1990"/>
      <c r="AM21" s="1990"/>
      <c r="AN21" s="1990"/>
      <c r="AO21" s="1990"/>
      <c r="AP21" s="1990"/>
      <c r="AQ21" s="1990"/>
      <c r="AR21" s="1990"/>
      <c r="AS21" s="1990"/>
      <c r="AT21" s="1990"/>
      <c r="AU21" s="1990"/>
      <c r="AV21" s="1990"/>
      <c r="AW21" s="1990"/>
      <c r="AX21" s="1990"/>
      <c r="AY21" s="1990"/>
      <c r="AZ21" s="1990"/>
      <c r="BA21" s="1990"/>
      <c r="BB21" s="1990"/>
      <c r="BC21" s="1990"/>
      <c r="BD21" s="1990"/>
      <c r="BE21" s="1990"/>
      <c r="BF21" s="1990"/>
      <c r="BG21" s="1990"/>
      <c r="BH21" s="1990"/>
      <c r="BI21" s="1990"/>
      <c r="BJ21" s="1990"/>
      <c r="BK21" s="1990"/>
      <c r="BL21" s="1990"/>
      <c r="BM21" s="1990"/>
      <c r="BN21" s="1990"/>
      <c r="BO21" s="1990"/>
      <c r="BP21" s="1990"/>
      <c r="BQ21" s="1990"/>
      <c r="BR21" s="1990"/>
      <c r="BS21" s="1990"/>
      <c r="BT21" s="1990"/>
      <c r="BU21" s="1990"/>
      <c r="BV21" s="1990"/>
      <c r="BW21" s="1990"/>
      <c r="BX21" s="1990"/>
      <c r="BY21" s="1990"/>
      <c r="BZ21" s="1990"/>
      <c r="CA21" s="1990"/>
      <c r="CB21" s="1990"/>
      <c r="CC21" s="1990"/>
      <c r="CD21" s="1990"/>
      <c r="CE21" s="1990"/>
      <c r="CF21" s="1990"/>
      <c r="CG21" s="1990"/>
      <c r="CH21" s="1990"/>
      <c r="CI21" s="1990"/>
    </row>
    <row r="22" spans="1:87" s="1990" customFormat="1" ht="15" customHeight="1">
      <c r="A22" s="4528" t="s">
        <v>79</v>
      </c>
      <c r="B22" s="2966" t="s">
        <v>464</v>
      </c>
      <c r="C22" s="2967" t="s">
        <v>98</v>
      </c>
      <c r="D22" s="2968"/>
      <c r="E22" s="2969"/>
      <c r="F22" s="2969"/>
      <c r="G22" s="2969"/>
      <c r="H22" s="2969"/>
      <c r="I22" s="2969"/>
      <c r="J22" s="2969"/>
      <c r="K22" s="2969"/>
      <c r="L22" s="2969"/>
      <c r="M22" s="2969"/>
      <c r="N22" s="2969"/>
      <c r="O22" s="2969"/>
      <c r="P22" s="2969"/>
      <c r="Q22" s="2969"/>
      <c r="R22" s="2969"/>
      <c r="S22" s="2970"/>
      <c r="T22" s="2970"/>
      <c r="U22" s="2970"/>
      <c r="V22" s="2970"/>
      <c r="W22" s="2970"/>
      <c r="X22" s="2971"/>
      <c r="Y22" s="4510" t="s">
        <v>235</v>
      </c>
    </row>
    <row r="23" spans="1:87" s="1990" customFormat="1" ht="14.1" customHeight="1">
      <c r="A23" s="4529"/>
      <c r="B23" s="2961" t="s">
        <v>22</v>
      </c>
      <c r="C23" s="2961"/>
      <c r="D23" s="2065">
        <f t="shared" ref="D23:L23" si="44">+D24+D26</f>
        <v>2536207</v>
      </c>
      <c r="E23" s="2065">
        <f t="shared" si="44"/>
        <v>0</v>
      </c>
      <c r="F23" s="2065"/>
      <c r="G23" s="2065"/>
      <c r="H23" s="2065"/>
      <c r="I23" s="2065">
        <f t="shared" si="44"/>
        <v>0</v>
      </c>
      <c r="J23" s="2065">
        <f>+J24+J26</f>
        <v>256207</v>
      </c>
      <c r="K23" s="2065">
        <f t="shared" si="44"/>
        <v>0</v>
      </c>
      <c r="L23" s="2065">
        <f t="shared" si="44"/>
        <v>0</v>
      </c>
      <c r="M23" s="2065">
        <f t="shared" ref="M23" si="45">+M24+M26</f>
        <v>256207</v>
      </c>
      <c r="N23" s="2065">
        <f t="shared" ref="N23:X23" si="46">+N24</f>
        <v>0</v>
      </c>
      <c r="O23" s="2065">
        <f t="shared" si="46"/>
        <v>0</v>
      </c>
      <c r="P23" s="2065">
        <f t="shared" si="46"/>
        <v>2280000</v>
      </c>
      <c r="Q23" s="2065">
        <f t="shared" si="46"/>
        <v>0</v>
      </c>
      <c r="R23" s="2065">
        <f t="shared" si="46"/>
        <v>0</v>
      </c>
      <c r="S23" s="2065">
        <f t="shared" si="46"/>
        <v>0</v>
      </c>
      <c r="T23" s="2065">
        <f t="shared" si="46"/>
        <v>0</v>
      </c>
      <c r="U23" s="2065"/>
      <c r="V23" s="2065"/>
      <c r="W23" s="2065"/>
      <c r="X23" s="2071">
        <f t="shared" si="46"/>
        <v>2280000</v>
      </c>
      <c r="Y23" s="4358"/>
    </row>
    <row r="24" spans="1:87" s="1990" customFormat="1" ht="14.1" customHeight="1">
      <c r="A24" s="4529"/>
      <c r="B24" s="2972" t="s">
        <v>36</v>
      </c>
      <c r="C24" s="4515" t="s">
        <v>236</v>
      </c>
      <c r="D24" s="2067">
        <f>D25</f>
        <v>2536207</v>
      </c>
      <c r="E24" s="2067">
        <f t="shared" ref="E24:T24" si="47">E25</f>
        <v>0</v>
      </c>
      <c r="F24" s="2067"/>
      <c r="G24" s="2067"/>
      <c r="H24" s="2067"/>
      <c r="I24" s="2067">
        <f t="shared" si="47"/>
        <v>0</v>
      </c>
      <c r="J24" s="2067">
        <f t="shared" si="47"/>
        <v>256207</v>
      </c>
      <c r="K24" s="2067">
        <f t="shared" si="47"/>
        <v>0</v>
      </c>
      <c r="L24" s="2067">
        <f t="shared" si="47"/>
        <v>0</v>
      </c>
      <c r="M24" s="2067">
        <f t="shared" si="47"/>
        <v>256207</v>
      </c>
      <c r="N24" s="2067">
        <f t="shared" si="47"/>
        <v>0</v>
      </c>
      <c r="O24" s="2067">
        <f t="shared" si="47"/>
        <v>0</v>
      </c>
      <c r="P24" s="2067">
        <f t="shared" si="47"/>
        <v>2280000</v>
      </c>
      <c r="Q24" s="2067">
        <f t="shared" si="47"/>
        <v>0</v>
      </c>
      <c r="R24" s="2067">
        <f t="shared" si="47"/>
        <v>0</v>
      </c>
      <c r="S24" s="2067">
        <f t="shared" si="47"/>
        <v>0</v>
      </c>
      <c r="T24" s="2067">
        <f t="shared" si="47"/>
        <v>0</v>
      </c>
      <c r="U24" s="2067"/>
      <c r="V24" s="2067"/>
      <c r="W24" s="2067"/>
      <c r="X24" s="2046">
        <f>+X25</f>
        <v>2280000</v>
      </c>
      <c r="Y24" s="4358"/>
    </row>
    <row r="25" spans="1:87" s="1990" customFormat="1" ht="12.75" thickBot="1">
      <c r="A25" s="4530"/>
      <c r="B25" s="2973" t="s">
        <v>175</v>
      </c>
      <c r="C25" s="4531"/>
      <c r="D25" s="796">
        <f>M25+O25+P25+Q25+R25+S25+T25+U25+V25+W25</f>
        <v>2536207</v>
      </c>
      <c r="E25" s="796">
        <f>+F25+G25+H25</f>
        <v>0</v>
      </c>
      <c r="F25" s="796"/>
      <c r="G25" s="796"/>
      <c r="H25" s="796"/>
      <c r="I25" s="796">
        <v>0</v>
      </c>
      <c r="J25" s="796">
        <f>2500000-2243000-793</f>
        <v>256207</v>
      </c>
      <c r="K25" s="796">
        <f>4500000-3800000-700000</f>
        <v>0</v>
      </c>
      <c r="L25" s="796">
        <f>3323200-1743200+700000-2280000</f>
        <v>0</v>
      </c>
      <c r="M25" s="796">
        <f>+E25+I25+J25+K25+L25+N25</f>
        <v>256207</v>
      </c>
      <c r="N25" s="796">
        <f>0+2280000-2280000</f>
        <v>0</v>
      </c>
      <c r="O25" s="796">
        <f>0+2280000-2280000</f>
        <v>0</v>
      </c>
      <c r="P25" s="796">
        <f>0+2280000</f>
        <v>2280000</v>
      </c>
      <c r="Q25" s="796">
        <v>0</v>
      </c>
      <c r="R25" s="796">
        <v>0</v>
      </c>
      <c r="S25" s="796">
        <v>0</v>
      </c>
      <c r="T25" s="796">
        <v>0</v>
      </c>
      <c r="U25" s="796"/>
      <c r="V25" s="796"/>
      <c r="W25" s="796"/>
      <c r="X25" s="2957">
        <f>SUM(P25:T25)</f>
        <v>2280000</v>
      </c>
      <c r="Y25" s="4358"/>
    </row>
    <row r="26" spans="1:87" s="1990" customFormat="1" ht="5.25" hidden="1" customHeight="1">
      <c r="A26" s="2974"/>
      <c r="B26" s="2975" t="s">
        <v>30</v>
      </c>
      <c r="C26" s="4531"/>
      <c r="D26" s="2976">
        <f>+D27</f>
        <v>0</v>
      </c>
      <c r="E26" s="2976">
        <f>+E27</f>
        <v>0</v>
      </c>
      <c r="F26" s="2976"/>
      <c r="G26" s="2976"/>
      <c r="H26" s="2976"/>
      <c r="I26" s="2976">
        <f>+I27</f>
        <v>0</v>
      </c>
      <c r="J26" s="2976">
        <f>+J27</f>
        <v>0</v>
      </c>
      <c r="K26" s="2976">
        <f>+K27</f>
        <v>0</v>
      </c>
      <c r="L26" s="2976">
        <f>+L27</f>
        <v>0</v>
      </c>
      <c r="M26" s="2976"/>
      <c r="N26" s="2976">
        <v>0</v>
      </c>
      <c r="O26" s="2976">
        <v>0</v>
      </c>
      <c r="P26" s="2976">
        <v>0</v>
      </c>
      <c r="Q26" s="2976"/>
      <c r="R26" s="2976"/>
      <c r="S26" s="2976"/>
      <c r="T26" s="2976"/>
      <c r="U26" s="2976"/>
      <c r="V26" s="2976"/>
      <c r="W26" s="2976"/>
      <c r="X26" s="2977"/>
      <c r="Y26" s="4358"/>
    </row>
    <row r="27" spans="1:87" s="1990" customFormat="1" ht="5.25" hidden="1" customHeight="1" thickBot="1">
      <c r="A27" s="2974"/>
      <c r="B27" s="2978" t="s">
        <v>48</v>
      </c>
      <c r="C27" s="4532"/>
      <c r="D27" s="796">
        <f>+E27+I27+J27+K27+L27</f>
        <v>0</v>
      </c>
      <c r="E27" s="796">
        <v>0</v>
      </c>
      <c r="F27" s="796"/>
      <c r="G27" s="796"/>
      <c r="H27" s="796"/>
      <c r="I27" s="796">
        <v>0</v>
      </c>
      <c r="J27" s="796">
        <f>7500000-7500000</f>
        <v>0</v>
      </c>
      <c r="K27" s="796">
        <f>13500000-13500000</f>
        <v>0</v>
      </c>
      <c r="L27" s="796">
        <f>9969600-9969600</f>
        <v>0</v>
      </c>
      <c r="M27" s="796"/>
      <c r="N27" s="796">
        <v>0</v>
      </c>
      <c r="O27" s="796">
        <v>0</v>
      </c>
      <c r="P27" s="796">
        <v>0</v>
      </c>
      <c r="Q27" s="796"/>
      <c r="R27" s="796"/>
      <c r="S27" s="796"/>
      <c r="T27" s="796"/>
      <c r="U27" s="796"/>
      <c r="V27" s="796"/>
      <c r="W27" s="796"/>
      <c r="X27" s="2979"/>
      <c r="Y27" s="4358"/>
    </row>
    <row r="28" spans="1:87" s="3043" customFormat="1" ht="9" hidden="1" customHeight="1">
      <c r="A28" s="2974"/>
      <c r="B28" s="2949" t="s">
        <v>34</v>
      </c>
      <c r="C28" s="2980"/>
      <c r="D28" s="2981">
        <f>D29</f>
        <v>0</v>
      </c>
      <c r="E28" s="2981">
        <f t="shared" ref="E28:J28" si="48">E29</f>
        <v>0</v>
      </c>
      <c r="F28" s="2981"/>
      <c r="G28" s="2981"/>
      <c r="H28" s="2981"/>
      <c r="I28" s="2981">
        <f t="shared" si="48"/>
        <v>0</v>
      </c>
      <c r="J28" s="2981">
        <f t="shared" si="48"/>
        <v>0</v>
      </c>
      <c r="K28" s="2981">
        <f>K29</f>
        <v>0</v>
      </c>
      <c r="L28" s="2981">
        <f>L29</f>
        <v>0</v>
      </c>
      <c r="M28" s="2981"/>
      <c r="N28" s="2981">
        <f>N29</f>
        <v>0</v>
      </c>
      <c r="O28" s="2981">
        <f>O29</f>
        <v>0</v>
      </c>
      <c r="P28" s="2981">
        <f>P29</f>
        <v>0</v>
      </c>
      <c r="Q28" s="2981"/>
      <c r="R28" s="2981"/>
      <c r="S28" s="2981"/>
      <c r="T28" s="2981"/>
      <c r="U28" s="2981"/>
      <c r="V28" s="2981"/>
      <c r="W28" s="2981"/>
      <c r="X28" s="2982"/>
      <c r="Y28" s="4358"/>
    </row>
    <row r="29" spans="1:87" s="1990" customFormat="1" ht="7.5" hidden="1" customHeight="1">
      <c r="A29" s="2974"/>
      <c r="B29" s="3028" t="s">
        <v>30</v>
      </c>
      <c r="C29" s="4515" t="s">
        <v>35</v>
      </c>
      <c r="D29" s="2067">
        <f>+D30</f>
        <v>0</v>
      </c>
      <c r="E29" s="2067">
        <f t="shared" ref="E29:L29" si="49">+E30</f>
        <v>0</v>
      </c>
      <c r="F29" s="2067"/>
      <c r="G29" s="2067"/>
      <c r="H29" s="2067"/>
      <c r="I29" s="2067">
        <f t="shared" si="49"/>
        <v>0</v>
      </c>
      <c r="J29" s="2067">
        <f t="shared" si="49"/>
        <v>0</v>
      </c>
      <c r="K29" s="2067">
        <f t="shared" si="49"/>
        <v>0</v>
      </c>
      <c r="L29" s="2067">
        <f t="shared" si="49"/>
        <v>0</v>
      </c>
      <c r="M29" s="2067"/>
      <c r="N29" s="2067">
        <v>0</v>
      </c>
      <c r="O29" s="2067">
        <v>0</v>
      </c>
      <c r="P29" s="2067">
        <v>0</v>
      </c>
      <c r="Q29" s="3028"/>
      <c r="R29" s="3028"/>
      <c r="S29" s="3028"/>
      <c r="T29" s="3028"/>
      <c r="U29" s="3028"/>
      <c r="V29" s="3028"/>
      <c r="W29" s="3028"/>
      <c r="X29" s="3028"/>
      <c r="Y29" s="4358"/>
    </row>
    <row r="30" spans="1:87" s="1990" customFormat="1" ht="4.5" hidden="1" customHeight="1" thickBot="1">
      <c r="A30" s="2983"/>
      <c r="B30" s="2978" t="s">
        <v>48</v>
      </c>
      <c r="C30" s="4357"/>
      <c r="D30" s="796">
        <f>+E30+I30+J30+K30+L30</f>
        <v>0</v>
      </c>
      <c r="E30" s="796">
        <v>0</v>
      </c>
      <c r="F30" s="796"/>
      <c r="G30" s="796"/>
      <c r="H30" s="796"/>
      <c r="I30" s="796">
        <v>0</v>
      </c>
      <c r="J30" s="796">
        <f>7500000-7500000</f>
        <v>0</v>
      </c>
      <c r="K30" s="796">
        <f>13500000-13500000</f>
        <v>0</v>
      </c>
      <c r="L30" s="796">
        <f>9969600-9969600</f>
        <v>0</v>
      </c>
      <c r="M30" s="796"/>
      <c r="N30" s="796">
        <v>0</v>
      </c>
      <c r="O30" s="796">
        <v>0</v>
      </c>
      <c r="P30" s="796">
        <v>0</v>
      </c>
      <c r="Q30" s="3028"/>
      <c r="R30" s="3028"/>
      <c r="S30" s="3028"/>
      <c r="T30" s="3028"/>
      <c r="U30" s="3028"/>
      <c r="V30" s="3028"/>
      <c r="W30" s="3028"/>
      <c r="X30" s="3028"/>
      <c r="Y30" s="4357"/>
    </row>
    <row r="31" spans="1:87" s="1990" customFormat="1" ht="38.25" customHeight="1">
      <c r="A31" s="4507" t="s">
        <v>80</v>
      </c>
      <c r="B31" s="2984" t="s">
        <v>513</v>
      </c>
      <c r="C31" s="2985" t="s">
        <v>98</v>
      </c>
      <c r="D31" s="2986"/>
      <c r="E31" s="2986"/>
      <c r="F31" s="2969"/>
      <c r="G31" s="2969"/>
      <c r="H31" s="2969"/>
      <c r="I31" s="2969"/>
      <c r="J31" s="2969"/>
      <c r="K31" s="2969"/>
      <c r="L31" s="2969"/>
      <c r="M31" s="2969"/>
      <c r="N31" s="2969"/>
      <c r="O31" s="2969"/>
      <c r="P31" s="2969"/>
      <c r="Q31" s="2969"/>
      <c r="R31" s="2969"/>
      <c r="S31" s="2969"/>
      <c r="T31" s="2969"/>
      <c r="U31" s="2969"/>
      <c r="V31" s="2969"/>
      <c r="W31" s="2969"/>
      <c r="X31" s="2971"/>
      <c r="Y31" s="4510" t="s">
        <v>235</v>
      </c>
    </row>
    <row r="32" spans="1:87" s="1990" customFormat="1" ht="11.25" customHeight="1">
      <c r="A32" s="4508"/>
      <c r="B32" s="2961" t="s">
        <v>22</v>
      </c>
      <c r="C32" s="2987"/>
      <c r="D32" s="2065">
        <f>+D33+D36</f>
        <v>27076462</v>
      </c>
      <c r="E32" s="2065">
        <f t="shared" ref="E32:R32" si="50">+E33+E36</f>
        <v>217616</v>
      </c>
      <c r="F32" s="2065">
        <f t="shared" si="50"/>
        <v>0</v>
      </c>
      <c r="G32" s="2065">
        <f t="shared" si="50"/>
        <v>0</v>
      </c>
      <c r="H32" s="2065">
        <f t="shared" si="50"/>
        <v>0</v>
      </c>
      <c r="I32" s="2065">
        <f>+I33+I36</f>
        <v>267797</v>
      </c>
      <c r="J32" s="2065">
        <f t="shared" si="50"/>
        <v>254610</v>
      </c>
      <c r="K32" s="2065">
        <f t="shared" si="50"/>
        <v>6576172</v>
      </c>
      <c r="L32" s="2065">
        <f t="shared" si="50"/>
        <v>5822432</v>
      </c>
      <c r="M32" s="2065">
        <f t="shared" ref="M32" si="51">+M33+M36</f>
        <v>17462787</v>
      </c>
      <c r="N32" s="2065">
        <f t="shared" si="50"/>
        <v>4324160</v>
      </c>
      <c r="O32" s="2065">
        <f t="shared" si="50"/>
        <v>9613675</v>
      </c>
      <c r="P32" s="2065">
        <f>+P33+P36</f>
        <v>0</v>
      </c>
      <c r="Q32" s="2065">
        <f t="shared" si="50"/>
        <v>0</v>
      </c>
      <c r="R32" s="2065">
        <f t="shared" si="50"/>
        <v>0</v>
      </c>
      <c r="S32" s="2065">
        <f t="shared" ref="S32:T32" si="52">+S33+S36</f>
        <v>0</v>
      </c>
      <c r="T32" s="2065">
        <f t="shared" si="52"/>
        <v>0</v>
      </c>
      <c r="U32" s="2065"/>
      <c r="V32" s="2065"/>
      <c r="W32" s="2065"/>
      <c r="X32" s="2071">
        <f>+X33</f>
        <v>0</v>
      </c>
      <c r="Y32" s="4358"/>
    </row>
    <row r="33" spans="1:87" s="1990" customFormat="1" ht="13.5" customHeight="1">
      <c r="A33" s="4508"/>
      <c r="B33" s="2988" t="s">
        <v>36</v>
      </c>
      <c r="C33" s="4513" t="s">
        <v>35</v>
      </c>
      <c r="D33" s="2067">
        <f>D35+D34</f>
        <v>10866528</v>
      </c>
      <c r="E33" s="2067">
        <f>E35+E34</f>
        <v>217616</v>
      </c>
      <c r="F33" s="2067">
        <f t="shared" ref="F33:L33" si="53">F35+F34</f>
        <v>0</v>
      </c>
      <c r="G33" s="2067">
        <f t="shared" si="53"/>
        <v>0</v>
      </c>
      <c r="H33" s="2067">
        <f t="shared" si="53"/>
        <v>0</v>
      </c>
      <c r="I33" s="2067">
        <f t="shared" si="53"/>
        <v>267797</v>
      </c>
      <c r="J33" s="2067">
        <f t="shared" si="53"/>
        <v>254610</v>
      </c>
      <c r="K33" s="2067">
        <f t="shared" si="53"/>
        <v>2422410</v>
      </c>
      <c r="L33" s="2067">
        <f t="shared" si="53"/>
        <v>2313652</v>
      </c>
      <c r="M33" s="2067">
        <f t="shared" ref="M33" si="54">M35+M34</f>
        <v>7635088</v>
      </c>
      <c r="N33" s="2067">
        <f t="shared" ref="N33:T33" si="55">N35+N34</f>
        <v>2159003</v>
      </c>
      <c r="O33" s="2067">
        <f t="shared" si="55"/>
        <v>3231440</v>
      </c>
      <c r="P33" s="2067">
        <f t="shared" si="55"/>
        <v>0</v>
      </c>
      <c r="Q33" s="2067">
        <f t="shared" si="55"/>
        <v>0</v>
      </c>
      <c r="R33" s="2067">
        <f t="shared" si="55"/>
        <v>0</v>
      </c>
      <c r="S33" s="2067">
        <f t="shared" si="55"/>
        <v>0</v>
      </c>
      <c r="T33" s="2067">
        <f t="shared" si="55"/>
        <v>0</v>
      </c>
      <c r="U33" s="2067"/>
      <c r="V33" s="2067"/>
      <c r="W33" s="2067"/>
      <c r="X33" s="2046">
        <f>+X35</f>
        <v>0</v>
      </c>
      <c r="Y33" s="4358"/>
    </row>
    <row r="34" spans="1:87" s="1990" customFormat="1" ht="12">
      <c r="A34" s="4508"/>
      <c r="B34" s="2989" t="s">
        <v>45</v>
      </c>
      <c r="C34" s="4514"/>
      <c r="D34" s="2057">
        <f>M34+O34+P34+Q34+R34+S34+T34+U34+V34+W34</f>
        <v>585072</v>
      </c>
      <c r="E34" s="2057">
        <f>41869-2933-11320</f>
        <v>27616</v>
      </c>
      <c r="F34" s="2057"/>
      <c r="G34" s="2057"/>
      <c r="H34" s="2057"/>
      <c r="I34" s="2990">
        <f>12320+35915+163247</f>
        <v>211482</v>
      </c>
      <c r="J34" s="2990">
        <f>130649-20782-50257</f>
        <v>59610</v>
      </c>
      <c r="K34" s="2990">
        <f>0+33883-33883+4388</f>
        <v>4388</v>
      </c>
      <c r="L34" s="2990">
        <f>6328+2160</f>
        <v>8488</v>
      </c>
      <c r="M34" s="2057">
        <f>+E34+I34+J34+K34+L34+N34</f>
        <v>514049</v>
      </c>
      <c r="N34" s="2990">
        <f>0+275648-2160-273488+273488-273488+209789-7324</f>
        <v>202465</v>
      </c>
      <c r="O34" s="2990">
        <f>0+273488-209789+7324</f>
        <v>71023</v>
      </c>
      <c r="P34" s="2990">
        <v>0</v>
      </c>
      <c r="Q34" s="2990">
        <v>0</v>
      </c>
      <c r="R34" s="2990">
        <v>0</v>
      </c>
      <c r="S34" s="2990">
        <v>0</v>
      </c>
      <c r="T34" s="2990">
        <v>0</v>
      </c>
      <c r="U34" s="2991"/>
      <c r="V34" s="2991"/>
      <c r="W34" s="2991"/>
      <c r="X34" s="2992" t="s">
        <v>77</v>
      </c>
      <c r="Y34" s="4358"/>
    </row>
    <row r="35" spans="1:87" s="1990" customFormat="1" ht="27" customHeight="1">
      <c r="A35" s="4508"/>
      <c r="B35" s="2993" t="s">
        <v>175</v>
      </c>
      <c r="C35" s="3030" t="s">
        <v>236</v>
      </c>
      <c r="D35" s="2075">
        <f>M35+O35+P35+Q35+R35+S35+T35+U35+V35+W35</f>
        <v>10281456</v>
      </c>
      <c r="E35" s="2075">
        <v>190000</v>
      </c>
      <c r="F35" s="2075"/>
      <c r="G35" s="2075"/>
      <c r="H35" s="2075"/>
      <c r="I35" s="2994">
        <v>56315</v>
      </c>
      <c r="J35" s="2994">
        <f>1734227-554657-984570</f>
        <v>195000</v>
      </c>
      <c r="K35" s="2994">
        <f>1353518+313690-478123+2496121-457790-758617-50777</f>
        <v>2418022</v>
      </c>
      <c r="L35" s="2994">
        <f>3458679+1703969-494138-110323+177575-2430598</f>
        <v>2305164</v>
      </c>
      <c r="M35" s="2075">
        <f>+E35+I35+J35+K35+L35+N35</f>
        <v>7121039</v>
      </c>
      <c r="N35" s="2994">
        <f>972710+868940-126798+2430598-546151-1537785-104976</f>
        <v>1956538</v>
      </c>
      <c r="O35" s="2994">
        <f>0+1565656+1489785+104976</f>
        <v>3160417</v>
      </c>
      <c r="P35" s="2994">
        <v>0</v>
      </c>
      <c r="Q35" s="2994">
        <v>0</v>
      </c>
      <c r="R35" s="2994">
        <v>0</v>
      </c>
      <c r="S35" s="2994">
        <v>0</v>
      </c>
      <c r="T35" s="2994">
        <v>0</v>
      </c>
      <c r="U35" s="2994"/>
      <c r="V35" s="2994"/>
      <c r="W35" s="2994"/>
      <c r="X35" s="2151">
        <f>SUM(P35:T35)</f>
        <v>0</v>
      </c>
      <c r="Y35" s="4358"/>
    </row>
    <row r="36" spans="1:87" s="2165" customFormat="1" ht="13.5" customHeight="1">
      <c r="A36" s="4508"/>
      <c r="B36" s="2995" t="s">
        <v>30</v>
      </c>
      <c r="C36" s="4513" t="s">
        <v>35</v>
      </c>
      <c r="D36" s="2150">
        <f>+D37</f>
        <v>16209934</v>
      </c>
      <c r="E36" s="2150">
        <f>+E37</f>
        <v>0</v>
      </c>
      <c r="F36" s="2150"/>
      <c r="G36" s="2150"/>
      <c r="H36" s="2150"/>
      <c r="I36" s="2150">
        <f t="shared" ref="I36:X36" si="56">+I37</f>
        <v>0</v>
      </c>
      <c r="J36" s="2150">
        <f t="shared" si="56"/>
        <v>0</v>
      </c>
      <c r="K36" s="2150">
        <f t="shared" si="56"/>
        <v>4153762</v>
      </c>
      <c r="L36" s="2150">
        <f t="shared" si="56"/>
        <v>3508780</v>
      </c>
      <c r="M36" s="2996">
        <f t="shared" si="56"/>
        <v>9827699</v>
      </c>
      <c r="N36" s="2150">
        <f t="shared" si="56"/>
        <v>2165157</v>
      </c>
      <c r="O36" s="2150">
        <f t="shared" si="56"/>
        <v>6382235</v>
      </c>
      <c r="P36" s="2150">
        <f t="shared" si="56"/>
        <v>0</v>
      </c>
      <c r="Q36" s="2150">
        <f t="shared" si="56"/>
        <v>0</v>
      </c>
      <c r="R36" s="2150">
        <f t="shared" si="56"/>
        <v>0</v>
      </c>
      <c r="S36" s="2150">
        <f t="shared" si="56"/>
        <v>0</v>
      </c>
      <c r="T36" s="2150">
        <f t="shared" si="56"/>
        <v>0</v>
      </c>
      <c r="U36" s="2996"/>
      <c r="V36" s="2996"/>
      <c r="W36" s="2996"/>
      <c r="X36" s="2997" t="str">
        <f t="shared" si="56"/>
        <v>x</v>
      </c>
      <c r="Y36" s="4358"/>
    </row>
    <row r="37" spans="1:87" s="2165" customFormat="1" ht="13.5" customHeight="1">
      <c r="A37" s="4508"/>
      <c r="B37" s="2993" t="s">
        <v>48</v>
      </c>
      <c r="C37" s="4514"/>
      <c r="D37" s="2075">
        <f>M37+O37+P37+Q37+R37+S37+T37+U37+V37+W37</f>
        <v>16209934</v>
      </c>
      <c r="E37" s="2075">
        <f>+F37+G37+H37</f>
        <v>0</v>
      </c>
      <c r="F37" s="2075"/>
      <c r="G37" s="2075"/>
      <c r="H37" s="2075"/>
      <c r="I37" s="2994">
        <f>0+227853-227853</f>
        <v>0</v>
      </c>
      <c r="J37" s="2075">
        <f>7290734-7290734+155250-155250</f>
        <v>0</v>
      </c>
      <c r="K37" s="2075">
        <f>3652516+4042558-1104084-1150036-1214385-72807</f>
        <v>4153762</v>
      </c>
      <c r="L37" s="2075">
        <f>10376035-2275067-762048-167205+257118-3798601-121452</f>
        <v>3508780</v>
      </c>
      <c r="M37" s="2057">
        <f>+E37+I37+J37+K37+L37+N37</f>
        <v>9827699</v>
      </c>
      <c r="N37" s="2075">
        <f>0+1528981+1764693-184311+3798601+121452-1428819-2608065-827375</f>
        <v>2165157</v>
      </c>
      <c r="O37" s="2075">
        <f>0+3021795+2533065+827375</f>
        <v>6382235</v>
      </c>
      <c r="P37" s="2075">
        <v>0</v>
      </c>
      <c r="Q37" s="2075">
        <v>0</v>
      </c>
      <c r="R37" s="2075">
        <v>0</v>
      </c>
      <c r="S37" s="2075">
        <v>0</v>
      </c>
      <c r="T37" s="2075">
        <v>0</v>
      </c>
      <c r="U37" s="2998"/>
      <c r="V37" s="2998"/>
      <c r="W37" s="2998"/>
      <c r="X37" s="2999" t="s">
        <v>77</v>
      </c>
      <c r="Y37" s="4358"/>
    </row>
    <row r="38" spans="1:87" s="3044" customFormat="1" ht="13.5" customHeight="1">
      <c r="A38" s="4508"/>
      <c r="B38" s="2961" t="s">
        <v>34</v>
      </c>
      <c r="C38" s="3000"/>
      <c r="D38" s="2145">
        <f>D41+D39</f>
        <v>21021412</v>
      </c>
      <c r="E38" s="2145">
        <f t="shared" ref="E38:R38" si="57">E41+E39</f>
        <v>0</v>
      </c>
      <c r="F38" s="2145">
        <f t="shared" si="57"/>
        <v>0</v>
      </c>
      <c r="G38" s="2145">
        <f t="shared" si="57"/>
        <v>0</v>
      </c>
      <c r="H38" s="2145">
        <f t="shared" si="57"/>
        <v>0</v>
      </c>
      <c r="I38" s="2145">
        <f t="shared" si="57"/>
        <v>0</v>
      </c>
      <c r="J38" s="2145">
        <f t="shared" si="57"/>
        <v>0</v>
      </c>
      <c r="K38" s="2145">
        <f t="shared" si="57"/>
        <v>6370013</v>
      </c>
      <c r="L38" s="2145">
        <f t="shared" si="57"/>
        <v>4222638</v>
      </c>
      <c r="M38" s="2320">
        <f t="shared" ref="M38" si="58">M41+M39</f>
        <v>12521825</v>
      </c>
      <c r="N38" s="2145">
        <f t="shared" si="57"/>
        <v>1929174</v>
      </c>
      <c r="O38" s="2145">
        <f t="shared" si="57"/>
        <v>7235272</v>
      </c>
      <c r="P38" s="2145">
        <f t="shared" si="57"/>
        <v>1264315</v>
      </c>
      <c r="Q38" s="2145">
        <f t="shared" si="57"/>
        <v>0</v>
      </c>
      <c r="R38" s="2145">
        <f t="shared" si="57"/>
        <v>0</v>
      </c>
      <c r="S38" s="2145">
        <f t="shared" ref="S38:T38" si="59">S41+S39</f>
        <v>0</v>
      </c>
      <c r="T38" s="2145">
        <f t="shared" si="59"/>
        <v>0</v>
      </c>
      <c r="U38" s="2145"/>
      <c r="V38" s="2145"/>
      <c r="W38" s="2145"/>
      <c r="X38" s="4535" t="s">
        <v>77</v>
      </c>
      <c r="Y38" s="4358"/>
    </row>
    <row r="39" spans="1:87" s="3044" customFormat="1" ht="13.5" customHeight="1">
      <c r="A39" s="4508"/>
      <c r="B39" s="3001" t="s">
        <v>36</v>
      </c>
      <c r="C39" s="4533" t="s">
        <v>236</v>
      </c>
      <c r="D39" s="3002">
        <f>+D40</f>
        <v>4811478</v>
      </c>
      <c r="E39" s="3002">
        <f t="shared" ref="E39:T39" si="60">+E40</f>
        <v>0</v>
      </c>
      <c r="F39" s="3002">
        <f t="shared" si="60"/>
        <v>0</v>
      </c>
      <c r="G39" s="3002">
        <f t="shared" si="60"/>
        <v>0</v>
      </c>
      <c r="H39" s="3002">
        <f t="shared" si="60"/>
        <v>0</v>
      </c>
      <c r="I39" s="3002">
        <f t="shared" si="60"/>
        <v>0</v>
      </c>
      <c r="J39" s="3002">
        <f t="shared" si="60"/>
        <v>0</v>
      </c>
      <c r="K39" s="3002">
        <f t="shared" si="60"/>
        <v>379212</v>
      </c>
      <c r="L39" s="3002">
        <f t="shared" si="60"/>
        <v>1552364</v>
      </c>
      <c r="M39" s="3002">
        <f t="shared" si="60"/>
        <v>2920919</v>
      </c>
      <c r="N39" s="3002">
        <f t="shared" si="60"/>
        <v>989343</v>
      </c>
      <c r="O39" s="3002">
        <f t="shared" si="60"/>
        <v>626244</v>
      </c>
      <c r="P39" s="3002">
        <f t="shared" si="60"/>
        <v>1264315</v>
      </c>
      <c r="Q39" s="3002">
        <f t="shared" si="60"/>
        <v>0</v>
      </c>
      <c r="R39" s="3002">
        <f t="shared" si="60"/>
        <v>0</v>
      </c>
      <c r="S39" s="3002">
        <f t="shared" si="60"/>
        <v>0</v>
      </c>
      <c r="T39" s="3002">
        <f t="shared" si="60"/>
        <v>0</v>
      </c>
      <c r="U39" s="3002"/>
      <c r="V39" s="3002"/>
      <c r="W39" s="3002"/>
      <c r="X39" s="4536"/>
      <c r="Y39" s="4358"/>
    </row>
    <row r="40" spans="1:87" s="3044" customFormat="1" ht="13.5" customHeight="1">
      <c r="A40" s="4508"/>
      <c r="B40" s="2993" t="s">
        <v>202</v>
      </c>
      <c r="C40" s="4534"/>
      <c r="D40" s="2075">
        <f>M40+O40+P40+Q40+R40+S40+T40+U40+V40+W40</f>
        <v>4811478</v>
      </c>
      <c r="E40" s="2994">
        <v>0</v>
      </c>
      <c r="F40" s="2994"/>
      <c r="G40" s="2994"/>
      <c r="H40" s="2994"/>
      <c r="I40" s="2994">
        <v>0</v>
      </c>
      <c r="J40" s="2994">
        <v>0</v>
      </c>
      <c r="K40" s="2994">
        <f>1612862-650514-577547-5589</f>
        <v>379212</v>
      </c>
      <c r="L40" s="2994">
        <f>2719795-556712-20925+153120-742914</f>
        <v>1552364</v>
      </c>
      <c r="M40" s="2057">
        <f>+E40+I40+J40+K40+L40+N40</f>
        <v>2920919</v>
      </c>
      <c r="N40" s="2994">
        <f>0+1214198+604808-147531+742914-978578-773907+327439</f>
        <v>989343</v>
      </c>
      <c r="O40" s="2994">
        <f>0+1467091+750907-327439-1264315</f>
        <v>626244</v>
      </c>
      <c r="P40" s="2994">
        <f>0+1264315</f>
        <v>1264315</v>
      </c>
      <c r="Q40" s="2994">
        <v>0</v>
      </c>
      <c r="R40" s="2994">
        <v>0</v>
      </c>
      <c r="S40" s="2994">
        <v>0</v>
      </c>
      <c r="T40" s="2994">
        <v>0</v>
      </c>
      <c r="U40" s="2994"/>
      <c r="V40" s="2994"/>
      <c r="W40" s="2994"/>
      <c r="X40" s="4536"/>
      <c r="Y40" s="4358"/>
    </row>
    <row r="41" spans="1:87" s="2165" customFormat="1" ht="13.5" customHeight="1">
      <c r="A41" s="4508"/>
      <c r="B41" s="2995" t="s">
        <v>30</v>
      </c>
      <c r="C41" s="4513" t="s">
        <v>35</v>
      </c>
      <c r="D41" s="2150">
        <f>+D42</f>
        <v>16209934</v>
      </c>
      <c r="E41" s="2150">
        <f>+E42</f>
        <v>0</v>
      </c>
      <c r="F41" s="2150"/>
      <c r="G41" s="2150"/>
      <c r="H41" s="2150"/>
      <c r="I41" s="2150">
        <f t="shared" ref="I41:T41" si="61">+I42</f>
        <v>0</v>
      </c>
      <c r="J41" s="2150">
        <f t="shared" si="61"/>
        <v>0</v>
      </c>
      <c r="K41" s="2150">
        <f t="shared" si="61"/>
        <v>5990801</v>
      </c>
      <c r="L41" s="2150">
        <f t="shared" si="61"/>
        <v>2670274</v>
      </c>
      <c r="M41" s="2996">
        <f t="shared" si="61"/>
        <v>9600906</v>
      </c>
      <c r="N41" s="2150">
        <f t="shared" si="61"/>
        <v>939831</v>
      </c>
      <c r="O41" s="2150">
        <f t="shared" si="61"/>
        <v>6609028</v>
      </c>
      <c r="P41" s="2150">
        <f t="shared" si="61"/>
        <v>0</v>
      </c>
      <c r="Q41" s="2150">
        <f t="shared" si="61"/>
        <v>0</v>
      </c>
      <c r="R41" s="2150">
        <f t="shared" si="61"/>
        <v>0</v>
      </c>
      <c r="S41" s="2150">
        <f t="shared" si="61"/>
        <v>0</v>
      </c>
      <c r="T41" s="2150">
        <f t="shared" si="61"/>
        <v>0</v>
      </c>
      <c r="U41" s="2150"/>
      <c r="V41" s="2150"/>
      <c r="W41" s="2150"/>
      <c r="X41" s="4536"/>
      <c r="Y41" s="4358"/>
    </row>
    <row r="42" spans="1:87" s="2165" customFormat="1" ht="13.5" customHeight="1" thickBot="1">
      <c r="A42" s="4517"/>
      <c r="B42" s="2993" t="s">
        <v>48</v>
      </c>
      <c r="C42" s="4514"/>
      <c r="D42" s="2075">
        <f>M42+O42+P42+Q42+R42+S42+T42+U42+V42+W42</f>
        <v>16209934</v>
      </c>
      <c r="E42" s="3003">
        <f>+F42+G42+H42</f>
        <v>0</v>
      </c>
      <c r="F42" s="3003"/>
      <c r="G42" s="3003"/>
      <c r="H42" s="3003"/>
      <c r="I42" s="3003">
        <v>0</v>
      </c>
      <c r="J42" s="3003">
        <f>7290734-7290734</f>
        <v>0</v>
      </c>
      <c r="K42" s="3003">
        <f>3652516+4042558-1104084-766932-1597488+1764231</f>
        <v>5990801</v>
      </c>
      <c r="L42" s="3003">
        <f>10376035-2275067-762048-167205-1579921-2920991-529</f>
        <v>2670274</v>
      </c>
      <c r="M42" s="796">
        <f>+E42+I42+J42+K42+L42+N42</f>
        <v>9600906</v>
      </c>
      <c r="N42" s="3003">
        <f>0+1528980+1764693-184310+2920991+529-1277548-3605490-208014</f>
        <v>939831</v>
      </c>
      <c r="O42" s="3003">
        <f>0+2870524+3530490+208014</f>
        <v>6609028</v>
      </c>
      <c r="P42" s="3003">
        <v>0</v>
      </c>
      <c r="Q42" s="3003">
        <v>0</v>
      </c>
      <c r="R42" s="3003">
        <v>0</v>
      </c>
      <c r="S42" s="3003">
        <v>0</v>
      </c>
      <c r="T42" s="3003">
        <v>0</v>
      </c>
      <c r="U42" s="3003"/>
      <c r="V42" s="3003"/>
      <c r="W42" s="3003"/>
      <c r="X42" s="4537"/>
      <c r="Y42" s="4359"/>
    </row>
    <row r="43" spans="1:87" s="1990" customFormat="1" ht="27" customHeight="1">
      <c r="A43" s="4518" t="s">
        <v>81</v>
      </c>
      <c r="B43" s="3758" t="s">
        <v>622</v>
      </c>
      <c r="C43" s="3759" t="s">
        <v>98</v>
      </c>
      <c r="D43" s="3760"/>
      <c r="E43" s="3761"/>
      <c r="F43" s="3760"/>
      <c r="G43" s="3760"/>
      <c r="H43" s="3760"/>
      <c r="I43" s="3761"/>
      <c r="J43" s="3760"/>
      <c r="K43" s="3760"/>
      <c r="L43" s="3761"/>
      <c r="M43" s="3761"/>
      <c r="N43" s="3761"/>
      <c r="O43" s="3761"/>
      <c r="P43" s="3761"/>
      <c r="Q43" s="3761"/>
      <c r="R43" s="3761"/>
      <c r="S43" s="3762"/>
      <c r="T43" s="3762"/>
      <c r="U43" s="3762"/>
      <c r="V43" s="3762"/>
      <c r="W43" s="3762"/>
      <c r="X43" s="3763"/>
      <c r="Y43" s="4494" t="s">
        <v>237</v>
      </c>
      <c r="CI43" s="3043"/>
    </row>
    <row r="44" spans="1:87" s="1990" customFormat="1" ht="14.25" customHeight="1">
      <c r="A44" s="4519"/>
      <c r="B44" s="3764" t="s">
        <v>22</v>
      </c>
      <c r="C44" s="3765"/>
      <c r="D44" s="3766">
        <f>+D45+D48</f>
        <v>75701695</v>
      </c>
      <c r="E44" s="3766">
        <f t="shared" ref="E44:L44" si="62">+E45+E48</f>
        <v>625947</v>
      </c>
      <c r="F44" s="3766"/>
      <c r="G44" s="3766"/>
      <c r="H44" s="3766"/>
      <c r="I44" s="3766">
        <f t="shared" si="62"/>
        <v>1250000</v>
      </c>
      <c r="J44" s="3766">
        <f t="shared" si="62"/>
        <v>1806740</v>
      </c>
      <c r="K44" s="3766">
        <f t="shared" si="62"/>
        <v>4223669</v>
      </c>
      <c r="L44" s="3766">
        <f t="shared" si="62"/>
        <v>3088525</v>
      </c>
      <c r="M44" s="3766">
        <f t="shared" ref="M44" si="63">+M45+M48</f>
        <v>24525398</v>
      </c>
      <c r="N44" s="3766">
        <f t="shared" ref="N44:T44" si="64">+N45+N48</f>
        <v>13530517</v>
      </c>
      <c r="O44" s="3766">
        <f t="shared" si="64"/>
        <v>49924972</v>
      </c>
      <c r="P44" s="3766">
        <f t="shared" si="64"/>
        <v>1251325</v>
      </c>
      <c r="Q44" s="3766">
        <f t="shared" si="64"/>
        <v>0</v>
      </c>
      <c r="R44" s="3766">
        <f t="shared" si="64"/>
        <v>0</v>
      </c>
      <c r="S44" s="3766">
        <f t="shared" si="64"/>
        <v>0</v>
      </c>
      <c r="T44" s="3766">
        <f t="shared" si="64"/>
        <v>0</v>
      </c>
      <c r="U44" s="3766"/>
      <c r="V44" s="3766"/>
      <c r="W44" s="3766"/>
      <c r="X44" s="3767">
        <f>+X45</f>
        <v>0</v>
      </c>
      <c r="Y44" s="4495"/>
    </row>
    <row r="45" spans="1:87" s="1990" customFormat="1" ht="14.25" customHeight="1">
      <c r="A45" s="4519"/>
      <c r="B45" s="3768" t="s">
        <v>36</v>
      </c>
      <c r="C45" s="4522" t="s">
        <v>238</v>
      </c>
      <c r="D45" s="3769">
        <f>D46+D47</f>
        <v>33124900</v>
      </c>
      <c r="E45" s="3769">
        <f>E46</f>
        <v>625947</v>
      </c>
      <c r="F45" s="3769"/>
      <c r="G45" s="3769"/>
      <c r="H45" s="3769"/>
      <c r="I45" s="3769">
        <f>I46</f>
        <v>1250000</v>
      </c>
      <c r="J45" s="3769">
        <f>J46</f>
        <v>1806740</v>
      </c>
      <c r="K45" s="3769">
        <f>K46</f>
        <v>2417285</v>
      </c>
      <c r="L45" s="3769">
        <f t="shared" ref="L45:R45" si="65">L46+L47</f>
        <v>1179067</v>
      </c>
      <c r="M45" s="3769">
        <f t="shared" ref="M45" si="66">M46+M47</f>
        <v>17898655</v>
      </c>
      <c r="N45" s="3769">
        <f t="shared" si="65"/>
        <v>10619616</v>
      </c>
      <c r="O45" s="3769">
        <f t="shared" si="65"/>
        <v>15226245</v>
      </c>
      <c r="P45" s="3769">
        <f t="shared" si="65"/>
        <v>0</v>
      </c>
      <c r="Q45" s="3769">
        <f t="shared" si="65"/>
        <v>0</v>
      </c>
      <c r="R45" s="3769">
        <f t="shared" si="65"/>
        <v>0</v>
      </c>
      <c r="S45" s="3769">
        <f t="shared" ref="S45:T45" si="67">S46+S47</f>
        <v>0</v>
      </c>
      <c r="T45" s="3769">
        <f t="shared" si="67"/>
        <v>0</v>
      </c>
      <c r="U45" s="3769"/>
      <c r="V45" s="3769"/>
      <c r="W45" s="3769"/>
      <c r="X45" s="3770">
        <f>+X46</f>
        <v>0</v>
      </c>
      <c r="Y45" s="4495"/>
    </row>
    <row r="46" spans="1:87" s="1990" customFormat="1" ht="14.25" customHeight="1">
      <c r="A46" s="4519"/>
      <c r="B46" s="3771" t="s">
        <v>175</v>
      </c>
      <c r="C46" s="4523"/>
      <c r="D46" s="3772">
        <f>M46+O46+P46+Q46+R46+S46+T46+U46+V46+W46</f>
        <v>32830371</v>
      </c>
      <c r="E46" s="3773">
        <f>524010+101937</f>
        <v>625947</v>
      </c>
      <c r="F46" s="3773"/>
      <c r="G46" s="3773"/>
      <c r="H46" s="3773"/>
      <c r="I46" s="3773">
        <f>1250000</f>
        <v>1250000</v>
      </c>
      <c r="J46" s="3773">
        <v>1806740</v>
      </c>
      <c r="K46" s="3773">
        <f>6626221+3165475-6867368-507043</f>
        <v>2417285</v>
      </c>
      <c r="L46" s="3773">
        <f>10000000+3190347-33690+1111636-9977427-3183343</f>
        <v>1107523</v>
      </c>
      <c r="M46" s="3773">
        <f>+E46+I46+J46+K46+L46+N46</f>
        <v>17674422</v>
      </c>
      <c r="N46" s="3773">
        <f>0+5755732+507043+12753787+3183343-5402276-6330702</f>
        <v>10466927</v>
      </c>
      <c r="O46" s="3773">
        <f>0+5402276+3422971+6330702</f>
        <v>15155949</v>
      </c>
      <c r="P46" s="3773">
        <v>0</v>
      </c>
      <c r="Q46" s="3773">
        <v>0</v>
      </c>
      <c r="R46" s="3773">
        <v>0</v>
      </c>
      <c r="S46" s="3773">
        <v>0</v>
      </c>
      <c r="T46" s="3773">
        <v>0</v>
      </c>
      <c r="U46" s="3773"/>
      <c r="V46" s="3773"/>
      <c r="W46" s="3773"/>
      <c r="X46" s="3774">
        <f>SUM(P46:T46)</f>
        <v>0</v>
      </c>
      <c r="Y46" s="4495"/>
    </row>
    <row r="47" spans="1:87" s="1990" customFormat="1" ht="14.25" customHeight="1">
      <c r="A47" s="4519"/>
      <c r="B47" s="3775" t="s">
        <v>45</v>
      </c>
      <c r="C47" s="4501" t="s">
        <v>35</v>
      </c>
      <c r="D47" s="3772">
        <f>M47+O47+P47+Q47+R47+S47+T47+U47+V47+W47</f>
        <v>294529</v>
      </c>
      <c r="E47" s="3776">
        <v>0</v>
      </c>
      <c r="F47" s="3776"/>
      <c r="G47" s="3776"/>
      <c r="H47" s="3776"/>
      <c r="I47" s="3776">
        <v>0</v>
      </c>
      <c r="J47" s="3776">
        <v>0</v>
      </c>
      <c r="K47" s="3776">
        <v>0</v>
      </c>
      <c r="L47" s="3776">
        <v>71544</v>
      </c>
      <c r="M47" s="3773">
        <f>+E47+I47+J47+K47+L47+N47</f>
        <v>224233</v>
      </c>
      <c r="N47" s="3776">
        <f>220000-67311</f>
        <v>152689</v>
      </c>
      <c r="O47" s="3776">
        <f>0+67311+2985</f>
        <v>70296</v>
      </c>
      <c r="P47" s="3776">
        <v>0</v>
      </c>
      <c r="Q47" s="3776">
        <v>0</v>
      </c>
      <c r="R47" s="3776">
        <v>0</v>
      </c>
      <c r="S47" s="3776">
        <v>0</v>
      </c>
      <c r="T47" s="3776">
        <v>0</v>
      </c>
      <c r="U47" s="3776"/>
      <c r="V47" s="3776"/>
      <c r="W47" s="3776"/>
      <c r="X47" s="3777" t="s">
        <v>77</v>
      </c>
      <c r="Y47" s="4495"/>
    </row>
    <row r="48" spans="1:87" s="1990" customFormat="1" ht="14.25" customHeight="1">
      <c r="A48" s="4519"/>
      <c r="B48" s="3778" t="s">
        <v>30</v>
      </c>
      <c r="C48" s="4524"/>
      <c r="D48" s="3779">
        <f>+D49</f>
        <v>42576795</v>
      </c>
      <c r="E48" s="3779">
        <f>+E49</f>
        <v>0</v>
      </c>
      <c r="F48" s="3779"/>
      <c r="G48" s="3779"/>
      <c r="H48" s="3779"/>
      <c r="I48" s="3779">
        <f t="shared" ref="I48:X48" si="68">+I49</f>
        <v>0</v>
      </c>
      <c r="J48" s="3779">
        <f t="shared" si="68"/>
        <v>0</v>
      </c>
      <c r="K48" s="3779">
        <f t="shared" si="68"/>
        <v>1806384</v>
      </c>
      <c r="L48" s="3779">
        <f t="shared" si="68"/>
        <v>1909458</v>
      </c>
      <c r="M48" s="3779">
        <f t="shared" si="68"/>
        <v>6626743</v>
      </c>
      <c r="N48" s="3779">
        <f t="shared" si="68"/>
        <v>2910901</v>
      </c>
      <c r="O48" s="3779">
        <f t="shared" si="68"/>
        <v>34698727</v>
      </c>
      <c r="P48" s="3779">
        <f t="shared" si="68"/>
        <v>1251325</v>
      </c>
      <c r="Q48" s="3779">
        <f t="shared" si="68"/>
        <v>0</v>
      </c>
      <c r="R48" s="3779">
        <f t="shared" si="68"/>
        <v>0</v>
      </c>
      <c r="S48" s="3779">
        <f t="shared" si="68"/>
        <v>0</v>
      </c>
      <c r="T48" s="3779">
        <f t="shared" si="68"/>
        <v>0</v>
      </c>
      <c r="U48" s="3779"/>
      <c r="V48" s="3779"/>
      <c r="W48" s="3779"/>
      <c r="X48" s="3780" t="str">
        <f t="shared" si="68"/>
        <v>x</v>
      </c>
      <c r="Y48" s="4495"/>
    </row>
    <row r="49" spans="1:87" s="1990" customFormat="1" ht="14.25" customHeight="1">
      <c r="A49" s="4519"/>
      <c r="B49" s="3775" t="s">
        <v>48</v>
      </c>
      <c r="C49" s="4502"/>
      <c r="D49" s="3772">
        <f>M49+O49+P49+Q49+R49+S49+T49+U49+V49+W49</f>
        <v>42576795</v>
      </c>
      <c r="E49" s="3773">
        <f>+F49+G49+H49</f>
        <v>0</v>
      </c>
      <c r="F49" s="3773"/>
      <c r="G49" s="3773"/>
      <c r="H49" s="3773"/>
      <c r="I49" s="3773">
        <v>0</v>
      </c>
      <c r="J49" s="3773">
        <v>0</v>
      </c>
      <c r="K49" s="3773">
        <f>20555625-18749241</f>
        <v>1806384</v>
      </c>
      <c r="L49" s="3773">
        <f>21180830-449123-18531707-290542</f>
        <v>1909458</v>
      </c>
      <c r="M49" s="3773">
        <f>+E49+I49+J49+K49+L49+N49</f>
        <v>6626743</v>
      </c>
      <c r="N49" s="3773">
        <f>0+18372065+18531707+290542-16928889-17354524</f>
        <v>2910901</v>
      </c>
      <c r="O49" s="3773">
        <f>0+16928889+5405892+17330134-3860802-1105386</f>
        <v>34698727</v>
      </c>
      <c r="P49" s="3773">
        <f>865936+385389</f>
        <v>1251325</v>
      </c>
      <c r="Q49" s="3773">
        <v>0</v>
      </c>
      <c r="R49" s="3773">
        <v>0</v>
      </c>
      <c r="S49" s="3773">
        <v>0</v>
      </c>
      <c r="T49" s="3773">
        <v>0</v>
      </c>
      <c r="U49" s="3773"/>
      <c r="V49" s="3773"/>
      <c r="W49" s="3773"/>
      <c r="X49" s="3781" t="s">
        <v>77</v>
      </c>
      <c r="Y49" s="4495"/>
    </row>
    <row r="50" spans="1:87" s="3043" customFormat="1" ht="14.25" customHeight="1">
      <c r="A50" s="4519"/>
      <c r="B50" s="3764" t="s">
        <v>34</v>
      </c>
      <c r="C50" s="3765"/>
      <c r="D50" s="3766">
        <f>D53+D51</f>
        <v>56102553</v>
      </c>
      <c r="E50" s="3766">
        <f t="shared" ref="E50:P50" si="69">E53+E51</f>
        <v>0</v>
      </c>
      <c r="F50" s="3766">
        <f t="shared" si="69"/>
        <v>0</v>
      </c>
      <c r="G50" s="3766">
        <f t="shared" si="69"/>
        <v>0</v>
      </c>
      <c r="H50" s="3766">
        <f t="shared" si="69"/>
        <v>0</v>
      </c>
      <c r="I50" s="3766">
        <f t="shared" si="69"/>
        <v>101937</v>
      </c>
      <c r="J50" s="3766">
        <f t="shared" si="69"/>
        <v>220330</v>
      </c>
      <c r="K50" s="3766">
        <f t="shared" si="69"/>
        <v>2712892</v>
      </c>
      <c r="L50" s="3766">
        <f t="shared" si="69"/>
        <v>2180016</v>
      </c>
      <c r="M50" s="3766">
        <f t="shared" ref="M50" si="70">M53+M51</f>
        <v>9730917</v>
      </c>
      <c r="N50" s="3766">
        <f t="shared" si="69"/>
        <v>4515742</v>
      </c>
      <c r="O50" s="3766">
        <f t="shared" si="69"/>
        <v>43211542</v>
      </c>
      <c r="P50" s="3766">
        <f t="shared" si="69"/>
        <v>3160094</v>
      </c>
      <c r="Q50" s="3766">
        <f>Q53+Q51</f>
        <v>0</v>
      </c>
      <c r="R50" s="3766">
        <f>R53+R51</f>
        <v>0</v>
      </c>
      <c r="S50" s="3766">
        <f>S53+S51</f>
        <v>0</v>
      </c>
      <c r="T50" s="3766">
        <f>T53+T51</f>
        <v>0</v>
      </c>
      <c r="U50" s="3766"/>
      <c r="V50" s="3766"/>
      <c r="W50" s="3766"/>
      <c r="X50" s="4525" t="s">
        <v>77</v>
      </c>
      <c r="Y50" s="4495"/>
    </row>
    <row r="51" spans="1:87" s="3043" customFormat="1" ht="14.25" customHeight="1">
      <c r="A51" s="4519"/>
      <c r="B51" s="3768" t="s">
        <v>36</v>
      </c>
      <c r="C51" s="4522" t="s">
        <v>238</v>
      </c>
      <c r="D51" s="3782">
        <f t="shared" ref="D51:T51" si="71">+D52</f>
        <v>13525758</v>
      </c>
      <c r="E51" s="3782">
        <f t="shared" si="71"/>
        <v>0</v>
      </c>
      <c r="F51" s="3782">
        <f t="shared" si="71"/>
        <v>0</v>
      </c>
      <c r="G51" s="3782">
        <f t="shared" si="71"/>
        <v>0</v>
      </c>
      <c r="H51" s="3782">
        <f t="shared" si="71"/>
        <v>0</v>
      </c>
      <c r="I51" s="3782">
        <f t="shared" si="71"/>
        <v>101937</v>
      </c>
      <c r="J51" s="3782">
        <f t="shared" si="71"/>
        <v>220330</v>
      </c>
      <c r="K51" s="3782">
        <f t="shared" si="71"/>
        <v>906508</v>
      </c>
      <c r="L51" s="3782">
        <f t="shared" si="71"/>
        <v>270558</v>
      </c>
      <c r="M51" s="3782">
        <f t="shared" si="71"/>
        <v>3104174</v>
      </c>
      <c r="N51" s="3782">
        <f t="shared" si="71"/>
        <v>1604841</v>
      </c>
      <c r="O51" s="3782">
        <f t="shared" si="71"/>
        <v>8512815</v>
      </c>
      <c r="P51" s="3782">
        <f t="shared" si="71"/>
        <v>1908769</v>
      </c>
      <c r="Q51" s="3782">
        <f t="shared" si="71"/>
        <v>0</v>
      </c>
      <c r="R51" s="3782">
        <f t="shared" si="71"/>
        <v>0</v>
      </c>
      <c r="S51" s="3782">
        <f t="shared" si="71"/>
        <v>0</v>
      </c>
      <c r="T51" s="3782">
        <f t="shared" si="71"/>
        <v>0</v>
      </c>
      <c r="U51" s="3782"/>
      <c r="V51" s="3782"/>
      <c r="W51" s="3782"/>
      <c r="X51" s="4526"/>
      <c r="Y51" s="4495"/>
    </row>
    <row r="52" spans="1:87" s="3043" customFormat="1" ht="14.25" customHeight="1">
      <c r="A52" s="4519"/>
      <c r="B52" s="3775" t="s">
        <v>202</v>
      </c>
      <c r="C52" s="4523"/>
      <c r="D52" s="3772">
        <f>M52+O52+P52+Q52+R52+S52+T52+U52+V52+W52</f>
        <v>13525758</v>
      </c>
      <c r="E52" s="3773">
        <v>0</v>
      </c>
      <c r="F52" s="3773"/>
      <c r="G52" s="3773"/>
      <c r="H52" s="3773"/>
      <c r="I52" s="3773">
        <v>101937</v>
      </c>
      <c r="J52" s="3773">
        <v>220330</v>
      </c>
      <c r="K52" s="3773">
        <f>337846+568662</f>
        <v>906508</v>
      </c>
      <c r="L52" s="3773">
        <f>5898044-2464898-3112529-50059</f>
        <v>270558</v>
      </c>
      <c r="M52" s="3773">
        <f>+E52+I52+J52+K52+L52+N52</f>
        <v>3104174</v>
      </c>
      <c r="N52" s="3773">
        <f>6167169+1616891+3622336+50059-7140695-2710919</f>
        <v>1604841</v>
      </c>
      <c r="O52" s="3773">
        <f>0+7140695+1621007+2710919-2960000+194</f>
        <v>8512815</v>
      </c>
      <c r="P52" s="3773">
        <f>2213313-304544</f>
        <v>1908769</v>
      </c>
      <c r="Q52" s="3773">
        <v>0</v>
      </c>
      <c r="R52" s="3773">
        <v>0</v>
      </c>
      <c r="S52" s="3773">
        <v>0</v>
      </c>
      <c r="T52" s="3773">
        <v>0</v>
      </c>
      <c r="U52" s="3773"/>
      <c r="V52" s="3773"/>
      <c r="W52" s="3773"/>
      <c r="X52" s="4526"/>
      <c r="Y52" s="4495"/>
    </row>
    <row r="53" spans="1:87" s="1990" customFormat="1" ht="14.25" customHeight="1">
      <c r="A53" s="4519"/>
      <c r="B53" s="3778" t="s">
        <v>30</v>
      </c>
      <c r="C53" s="4501" t="s">
        <v>35</v>
      </c>
      <c r="D53" s="3769">
        <f>+D54</f>
        <v>42576795</v>
      </c>
      <c r="E53" s="3769">
        <f t="shared" ref="E53:M53" si="72">+E54</f>
        <v>0</v>
      </c>
      <c r="F53" s="3769"/>
      <c r="G53" s="3769"/>
      <c r="H53" s="3769"/>
      <c r="I53" s="3769">
        <f t="shared" si="72"/>
        <v>0</v>
      </c>
      <c r="J53" s="3769">
        <f t="shared" si="72"/>
        <v>0</v>
      </c>
      <c r="K53" s="3769">
        <f t="shared" si="72"/>
        <v>1806384</v>
      </c>
      <c r="L53" s="3769">
        <f t="shared" si="72"/>
        <v>1909458</v>
      </c>
      <c r="M53" s="3769">
        <f t="shared" si="72"/>
        <v>6626743</v>
      </c>
      <c r="N53" s="3769">
        <f t="shared" ref="N53:T53" si="73">+N54</f>
        <v>2910901</v>
      </c>
      <c r="O53" s="3769">
        <f t="shared" si="73"/>
        <v>34698727</v>
      </c>
      <c r="P53" s="3769">
        <f t="shared" si="73"/>
        <v>1251325</v>
      </c>
      <c r="Q53" s="3769">
        <f t="shared" si="73"/>
        <v>0</v>
      </c>
      <c r="R53" s="3769">
        <f t="shared" si="73"/>
        <v>0</v>
      </c>
      <c r="S53" s="3769">
        <f t="shared" si="73"/>
        <v>0</v>
      </c>
      <c r="T53" s="3769">
        <f t="shared" si="73"/>
        <v>0</v>
      </c>
      <c r="U53" s="3769"/>
      <c r="V53" s="3769"/>
      <c r="W53" s="3769"/>
      <c r="X53" s="4526"/>
      <c r="Y53" s="4495"/>
    </row>
    <row r="54" spans="1:87" s="1990" customFormat="1" ht="14.25" customHeight="1" thickBot="1">
      <c r="A54" s="4520"/>
      <c r="B54" s="3783" t="s">
        <v>48</v>
      </c>
      <c r="C54" s="4503"/>
      <c r="D54" s="3784">
        <f>M54+O54+P54+Q54+R54+S54+T54+U54+V54+W54</f>
        <v>42576795</v>
      </c>
      <c r="E54" s="3785">
        <f>+F54+G54+H54</f>
        <v>0</v>
      </c>
      <c r="F54" s="3785"/>
      <c r="G54" s="3785"/>
      <c r="H54" s="3785"/>
      <c r="I54" s="3785">
        <v>0</v>
      </c>
      <c r="J54" s="3785">
        <v>0</v>
      </c>
      <c r="K54" s="3785">
        <f>20555625-18749241</f>
        <v>1806384</v>
      </c>
      <c r="L54" s="3785">
        <f>21180830-449123-18531707-290542</f>
        <v>1909458</v>
      </c>
      <c r="M54" s="3785">
        <f>+E54+I54+J54+K54+L54+N54</f>
        <v>6626743</v>
      </c>
      <c r="N54" s="3785">
        <f>18372065+18531707+290542-16928889-17354524</f>
        <v>2910901</v>
      </c>
      <c r="O54" s="3785">
        <f>0+16928889+5405892+17330134-3860802-1105386</f>
        <v>34698727</v>
      </c>
      <c r="P54" s="3785">
        <f>865936+385389</f>
        <v>1251325</v>
      </c>
      <c r="Q54" s="3785">
        <v>0</v>
      </c>
      <c r="R54" s="3785">
        <v>0</v>
      </c>
      <c r="S54" s="3785">
        <v>0</v>
      </c>
      <c r="T54" s="3785">
        <v>0</v>
      </c>
      <c r="U54" s="3785"/>
      <c r="V54" s="3785"/>
      <c r="W54" s="3785"/>
      <c r="X54" s="4527"/>
      <c r="Y54" s="4521"/>
    </row>
    <row r="55" spans="1:87" s="1990" customFormat="1" ht="39" customHeight="1">
      <c r="A55" s="4507" t="s">
        <v>82</v>
      </c>
      <c r="B55" s="2984" t="s">
        <v>533</v>
      </c>
      <c r="C55" s="2985" t="s">
        <v>98</v>
      </c>
      <c r="D55" s="3004"/>
      <c r="E55" s="3004"/>
      <c r="F55" s="3004"/>
      <c r="G55" s="3004"/>
      <c r="H55" s="3004"/>
      <c r="I55" s="3004"/>
      <c r="J55" s="3004"/>
      <c r="K55" s="3004"/>
      <c r="L55" s="3005"/>
      <c r="M55" s="3005"/>
      <c r="N55" s="3005"/>
      <c r="O55" s="3005"/>
      <c r="P55" s="3005"/>
      <c r="Q55" s="3005"/>
      <c r="R55" s="3005"/>
      <c r="S55" s="3006"/>
      <c r="T55" s="3006"/>
      <c r="U55" s="3006"/>
      <c r="V55" s="3006"/>
      <c r="W55" s="3006"/>
      <c r="X55" s="3009"/>
      <c r="Y55" s="4510" t="s">
        <v>239</v>
      </c>
      <c r="CI55" s="3043"/>
    </row>
    <row r="56" spans="1:87" s="1990" customFormat="1" ht="13.5" customHeight="1">
      <c r="A56" s="4508"/>
      <c r="B56" s="2961" t="s">
        <v>22</v>
      </c>
      <c r="C56" s="2987"/>
      <c r="D56" s="2065">
        <f>+D57+D60</f>
        <v>2994808</v>
      </c>
      <c r="E56" s="2065">
        <f t="shared" ref="E56:L56" si="74">+E57+E60</f>
        <v>0</v>
      </c>
      <c r="F56" s="2065">
        <f t="shared" si="74"/>
        <v>0</v>
      </c>
      <c r="G56" s="2065">
        <f t="shared" si="74"/>
        <v>0</v>
      </c>
      <c r="H56" s="2065">
        <f t="shared" si="74"/>
        <v>0</v>
      </c>
      <c r="I56" s="2065">
        <f t="shared" si="74"/>
        <v>0</v>
      </c>
      <c r="J56" s="2065">
        <f t="shared" si="74"/>
        <v>0</v>
      </c>
      <c r="K56" s="2065">
        <f t="shared" si="74"/>
        <v>779744</v>
      </c>
      <c r="L56" s="2065">
        <f t="shared" si="74"/>
        <v>256006</v>
      </c>
      <c r="M56" s="2065">
        <f t="shared" ref="M56" si="75">+M57+M60</f>
        <v>1758458</v>
      </c>
      <c r="N56" s="2065">
        <f t="shared" ref="N56:T56" si="76">+N57+N60</f>
        <v>722708</v>
      </c>
      <c r="O56" s="2065">
        <f t="shared" si="76"/>
        <v>1236350</v>
      </c>
      <c r="P56" s="2065">
        <f t="shared" si="76"/>
        <v>0</v>
      </c>
      <c r="Q56" s="2065">
        <f t="shared" si="76"/>
        <v>0</v>
      </c>
      <c r="R56" s="2065">
        <f t="shared" si="76"/>
        <v>0</v>
      </c>
      <c r="S56" s="2065">
        <f t="shared" si="76"/>
        <v>0</v>
      </c>
      <c r="T56" s="2065">
        <f t="shared" si="76"/>
        <v>0</v>
      </c>
      <c r="U56" s="2065"/>
      <c r="V56" s="2065"/>
      <c r="W56" s="2065"/>
      <c r="X56" s="2071">
        <f>+X57</f>
        <v>0</v>
      </c>
      <c r="Y56" s="4358"/>
    </row>
    <row r="57" spans="1:87" s="1990" customFormat="1" ht="13.5" customHeight="1">
      <c r="A57" s="4508"/>
      <c r="B57" s="2972" t="s">
        <v>36</v>
      </c>
      <c r="C57" s="4515" t="s">
        <v>238</v>
      </c>
      <c r="D57" s="2067">
        <f>+D58+D59</f>
        <v>1409070</v>
      </c>
      <c r="E57" s="2067">
        <f t="shared" ref="E57:R57" si="77">+E58+E59</f>
        <v>0</v>
      </c>
      <c r="F57" s="2067">
        <f t="shared" si="77"/>
        <v>0</v>
      </c>
      <c r="G57" s="2067">
        <f t="shared" si="77"/>
        <v>0</v>
      </c>
      <c r="H57" s="2067">
        <f t="shared" si="77"/>
        <v>0</v>
      </c>
      <c r="I57" s="2067">
        <f t="shared" si="77"/>
        <v>0</v>
      </c>
      <c r="J57" s="2067">
        <f t="shared" si="77"/>
        <v>0</v>
      </c>
      <c r="K57" s="2067">
        <f t="shared" si="77"/>
        <v>779744</v>
      </c>
      <c r="L57" s="2067">
        <f t="shared" si="77"/>
        <v>256006</v>
      </c>
      <c r="M57" s="2067">
        <f t="shared" ref="M57" si="78">+M58+M59</f>
        <v>1177882</v>
      </c>
      <c r="N57" s="2067">
        <f t="shared" si="77"/>
        <v>142132</v>
      </c>
      <c r="O57" s="2067">
        <f t="shared" si="77"/>
        <v>231188</v>
      </c>
      <c r="P57" s="2067">
        <f t="shared" si="77"/>
        <v>0</v>
      </c>
      <c r="Q57" s="2067">
        <f t="shared" si="77"/>
        <v>0</v>
      </c>
      <c r="R57" s="2067">
        <f t="shared" si="77"/>
        <v>0</v>
      </c>
      <c r="S57" s="2067">
        <f t="shared" ref="S57:T57" si="79">+S58+S59</f>
        <v>0</v>
      </c>
      <c r="T57" s="2067">
        <f t="shared" si="79"/>
        <v>0</v>
      </c>
      <c r="U57" s="2067"/>
      <c r="V57" s="2067"/>
      <c r="W57" s="2067"/>
      <c r="X57" s="2072">
        <f>+X58</f>
        <v>0</v>
      </c>
      <c r="Y57" s="4358"/>
    </row>
    <row r="58" spans="1:87" s="1990" customFormat="1" ht="13.5" customHeight="1">
      <c r="A58" s="4508"/>
      <c r="B58" s="3010" t="s">
        <v>175</v>
      </c>
      <c r="C58" s="4516"/>
      <c r="D58" s="2075">
        <f t="shared" ref="D58:D59" si="80">M58+O58+P58+Q58+R58+S58+T58+U58+V58+W58</f>
        <v>1384350</v>
      </c>
      <c r="E58" s="2057">
        <v>0</v>
      </c>
      <c r="F58" s="2057"/>
      <c r="G58" s="2057"/>
      <c r="H58" s="2057"/>
      <c r="I58" s="2057">
        <v>0</v>
      </c>
      <c r="J58" s="2057">
        <v>0</v>
      </c>
      <c r="K58" s="2057">
        <f>1305000+435000-900000-60256</f>
        <v>779744</v>
      </c>
      <c r="L58" s="2057">
        <f>1160000+900000+60256-1864250</f>
        <v>256006</v>
      </c>
      <c r="M58" s="2057">
        <f>+E58+I58+J58+K58+L58+N58</f>
        <v>1157762</v>
      </c>
      <c r="N58" s="2057">
        <f>348600-226588</f>
        <v>122012</v>
      </c>
      <c r="O58" s="2057">
        <f>0+226588</f>
        <v>226588</v>
      </c>
      <c r="P58" s="2057">
        <v>0</v>
      </c>
      <c r="Q58" s="2057">
        <v>0</v>
      </c>
      <c r="R58" s="2057">
        <v>0</v>
      </c>
      <c r="S58" s="2057">
        <v>0</v>
      </c>
      <c r="T58" s="2057">
        <v>0</v>
      </c>
      <c r="U58" s="2057"/>
      <c r="V58" s="2057"/>
      <c r="W58" s="2057"/>
      <c r="X58" s="2957">
        <f>SUM(P58:T58)</f>
        <v>0</v>
      </c>
      <c r="Y58" s="4358"/>
    </row>
    <row r="59" spans="1:87" s="1990" customFormat="1" ht="13.5" customHeight="1">
      <c r="A59" s="4508"/>
      <c r="B59" s="2989" t="s">
        <v>45</v>
      </c>
      <c r="C59" s="3029"/>
      <c r="D59" s="2075">
        <f t="shared" si="80"/>
        <v>24720</v>
      </c>
      <c r="E59" s="2057">
        <v>0</v>
      </c>
      <c r="F59" s="2057"/>
      <c r="G59" s="2057"/>
      <c r="H59" s="2057"/>
      <c r="I59" s="2057">
        <v>0</v>
      </c>
      <c r="J59" s="2057">
        <v>0</v>
      </c>
      <c r="K59" s="2057">
        <v>0</v>
      </c>
      <c r="L59" s="2057">
        <v>0</v>
      </c>
      <c r="M59" s="2057">
        <f>+E59+I59+J59+K59+L59+N59</f>
        <v>20120</v>
      </c>
      <c r="N59" s="2057">
        <v>20120</v>
      </c>
      <c r="O59" s="2057">
        <v>4600</v>
      </c>
      <c r="P59" s="2057"/>
      <c r="Q59" s="2057"/>
      <c r="R59" s="2057"/>
      <c r="S59" s="2057"/>
      <c r="T59" s="2057"/>
      <c r="U59" s="2057"/>
      <c r="V59" s="2057"/>
      <c r="W59" s="2057"/>
      <c r="X59" s="2960" t="s">
        <v>77</v>
      </c>
      <c r="Y59" s="4358"/>
    </row>
    <row r="60" spans="1:87" s="1990" customFormat="1" ht="13.5" customHeight="1">
      <c r="A60" s="4508"/>
      <c r="B60" s="2975" t="s">
        <v>30</v>
      </c>
      <c r="C60" s="4513" t="s">
        <v>35</v>
      </c>
      <c r="D60" s="3008">
        <f>+D61</f>
        <v>1585738</v>
      </c>
      <c r="E60" s="3008">
        <f t="shared" ref="E60:X60" si="81">+E61</f>
        <v>0</v>
      </c>
      <c r="F60" s="3008">
        <f t="shared" si="81"/>
        <v>0</v>
      </c>
      <c r="G60" s="3008">
        <f t="shared" si="81"/>
        <v>0</v>
      </c>
      <c r="H60" s="3008">
        <f t="shared" si="81"/>
        <v>0</v>
      </c>
      <c r="I60" s="3008">
        <f t="shared" si="81"/>
        <v>0</v>
      </c>
      <c r="J60" s="3008">
        <f t="shared" si="81"/>
        <v>0</v>
      </c>
      <c r="K60" s="3008">
        <f t="shared" si="81"/>
        <v>0</v>
      </c>
      <c r="L60" s="3008">
        <f t="shared" si="81"/>
        <v>0</v>
      </c>
      <c r="M60" s="3008">
        <f t="shared" si="81"/>
        <v>580576</v>
      </c>
      <c r="N60" s="3008">
        <f t="shared" si="81"/>
        <v>580576</v>
      </c>
      <c r="O60" s="3008">
        <f t="shared" si="81"/>
        <v>1005162</v>
      </c>
      <c r="P60" s="3008">
        <f t="shared" si="81"/>
        <v>0</v>
      </c>
      <c r="Q60" s="3008">
        <f t="shared" si="81"/>
        <v>0</v>
      </c>
      <c r="R60" s="3008">
        <f t="shared" si="81"/>
        <v>0</v>
      </c>
      <c r="S60" s="3008">
        <f t="shared" si="81"/>
        <v>0</v>
      </c>
      <c r="T60" s="3008">
        <f t="shared" si="81"/>
        <v>0</v>
      </c>
      <c r="U60" s="3011"/>
      <c r="V60" s="3011"/>
      <c r="W60" s="3011"/>
      <c r="X60" s="2992" t="str">
        <f t="shared" si="81"/>
        <v>x</v>
      </c>
      <c r="Y60" s="4358"/>
    </row>
    <row r="61" spans="1:87" s="1990" customFormat="1" ht="13.5" customHeight="1">
      <c r="A61" s="4508"/>
      <c r="B61" s="3012" t="s">
        <v>48</v>
      </c>
      <c r="C61" s="4514"/>
      <c r="D61" s="2075">
        <f>M61+O61+P61+Q61+R61+S61+T61+U61+V61+W61</f>
        <v>1585738</v>
      </c>
      <c r="E61" s="2057">
        <v>0</v>
      </c>
      <c r="F61" s="2057"/>
      <c r="G61" s="2057"/>
      <c r="H61" s="2057"/>
      <c r="I61" s="2057">
        <v>0</v>
      </c>
      <c r="J61" s="2057">
        <v>0</v>
      </c>
      <c r="K61" s="2057">
        <v>0</v>
      </c>
      <c r="L61" s="2057">
        <v>0</v>
      </c>
      <c r="M61" s="2057">
        <f>+E61+I61+J61+K61+L61+N61</f>
        <v>580576</v>
      </c>
      <c r="N61" s="2057">
        <f>1515650-935074</f>
        <v>580576</v>
      </c>
      <c r="O61" s="2057">
        <f>0+1005162</f>
        <v>1005162</v>
      </c>
      <c r="P61" s="2057">
        <v>0</v>
      </c>
      <c r="Q61" s="2057">
        <v>0</v>
      </c>
      <c r="R61" s="2057">
        <v>0</v>
      </c>
      <c r="S61" s="2057">
        <v>0</v>
      </c>
      <c r="T61" s="2057">
        <v>0</v>
      </c>
      <c r="U61" s="2057"/>
      <c r="V61" s="2057"/>
      <c r="W61" s="2057"/>
      <c r="X61" s="3007" t="s">
        <v>77</v>
      </c>
      <c r="Y61" s="4358"/>
    </row>
    <row r="62" spans="1:87" s="1990" customFormat="1" ht="13.5" customHeight="1">
      <c r="A62" s="4508"/>
      <c r="B62" s="2961" t="s">
        <v>34</v>
      </c>
      <c r="C62" s="3013"/>
      <c r="D62" s="2065">
        <f>+D63+D65</f>
        <v>2095808</v>
      </c>
      <c r="E62" s="2065">
        <f t="shared" ref="E62:R62" si="82">+E63+E65</f>
        <v>0</v>
      </c>
      <c r="F62" s="2065">
        <f t="shared" si="82"/>
        <v>0</v>
      </c>
      <c r="G62" s="2065">
        <f t="shared" si="82"/>
        <v>0</v>
      </c>
      <c r="H62" s="2065">
        <f t="shared" si="82"/>
        <v>0</v>
      </c>
      <c r="I62" s="2065">
        <f t="shared" si="82"/>
        <v>0</v>
      </c>
      <c r="J62" s="2065">
        <f t="shared" si="82"/>
        <v>0</v>
      </c>
      <c r="K62" s="2065">
        <f t="shared" si="82"/>
        <v>52889</v>
      </c>
      <c r="L62" s="2065">
        <f t="shared" si="82"/>
        <v>124808</v>
      </c>
      <c r="M62" s="2065">
        <f t="shared" ref="M62" si="83">+M63+M65</f>
        <v>882185</v>
      </c>
      <c r="N62" s="2065">
        <f>+N63+N65</f>
        <v>704488</v>
      </c>
      <c r="O62" s="2065">
        <f t="shared" si="82"/>
        <v>1213623</v>
      </c>
      <c r="P62" s="2065">
        <f t="shared" si="82"/>
        <v>0</v>
      </c>
      <c r="Q62" s="2065">
        <f t="shared" si="82"/>
        <v>0</v>
      </c>
      <c r="R62" s="2065">
        <f t="shared" si="82"/>
        <v>0</v>
      </c>
      <c r="S62" s="2065">
        <f t="shared" ref="S62:T62" si="84">+S63+S65</f>
        <v>0</v>
      </c>
      <c r="T62" s="2065">
        <f t="shared" si="84"/>
        <v>0</v>
      </c>
      <c r="U62" s="2065"/>
      <c r="V62" s="2065"/>
      <c r="W62" s="2065"/>
      <c r="X62" s="4424" t="s">
        <v>77</v>
      </c>
      <c r="Y62" s="4358"/>
    </row>
    <row r="63" spans="1:87" s="1990" customFormat="1" ht="13.5" customHeight="1">
      <c r="A63" s="4508"/>
      <c r="B63" s="2972" t="s">
        <v>36</v>
      </c>
      <c r="C63" s="4515" t="s">
        <v>238</v>
      </c>
      <c r="D63" s="3008">
        <f>+D64</f>
        <v>510070</v>
      </c>
      <c r="E63" s="2067">
        <v>0</v>
      </c>
      <c r="F63" s="2067"/>
      <c r="G63" s="2067"/>
      <c r="H63" s="2067"/>
      <c r="I63" s="2067">
        <v>0</v>
      </c>
      <c r="J63" s="2067">
        <f>J64</f>
        <v>0</v>
      </c>
      <c r="K63" s="2067">
        <f>K64</f>
        <v>52889</v>
      </c>
      <c r="L63" s="2067">
        <f>L64</f>
        <v>124808</v>
      </c>
      <c r="M63" s="2067">
        <f>M64</f>
        <v>301609</v>
      </c>
      <c r="N63" s="2067">
        <f t="shared" ref="N63:T63" si="85">+N64</f>
        <v>123912</v>
      </c>
      <c r="O63" s="2067">
        <f t="shared" si="85"/>
        <v>208461</v>
      </c>
      <c r="P63" s="2067">
        <f t="shared" si="85"/>
        <v>0</v>
      </c>
      <c r="Q63" s="2067">
        <f t="shared" si="85"/>
        <v>0</v>
      </c>
      <c r="R63" s="2067">
        <f t="shared" si="85"/>
        <v>0</v>
      </c>
      <c r="S63" s="2067">
        <f t="shared" si="85"/>
        <v>0</v>
      </c>
      <c r="T63" s="2067">
        <f t="shared" si="85"/>
        <v>0</v>
      </c>
      <c r="U63" s="2067"/>
      <c r="V63" s="2067"/>
      <c r="W63" s="2067"/>
      <c r="X63" s="4379"/>
      <c r="Y63" s="4358"/>
    </row>
    <row r="64" spans="1:87" s="1990" customFormat="1" ht="13.5" customHeight="1">
      <c r="A64" s="4508"/>
      <c r="B64" s="3012" t="s">
        <v>202</v>
      </c>
      <c r="C64" s="4516"/>
      <c r="D64" s="2075">
        <f>M64+O64+P64+Q64+R64+S64+T64+U64+V64+W64</f>
        <v>510070</v>
      </c>
      <c r="E64" s="2057">
        <v>0</v>
      </c>
      <c r="F64" s="2057"/>
      <c r="G64" s="2057"/>
      <c r="H64" s="2057"/>
      <c r="I64" s="2057">
        <v>0</v>
      </c>
      <c r="J64" s="2057">
        <v>0</v>
      </c>
      <c r="K64" s="2057">
        <v>52889</v>
      </c>
      <c r="L64" s="2057">
        <f>462758-337950</f>
        <v>124808</v>
      </c>
      <c r="M64" s="2057">
        <f>+E64+I64+J64+K64+L64+N64</f>
        <v>301609</v>
      </c>
      <c r="N64" s="2057">
        <f>331170-207258</f>
        <v>123912</v>
      </c>
      <c r="O64" s="2057">
        <f>0+217524-9063</f>
        <v>208461</v>
      </c>
      <c r="P64" s="2057">
        <v>0</v>
      </c>
      <c r="Q64" s="2057">
        <v>0</v>
      </c>
      <c r="R64" s="2057">
        <v>0</v>
      </c>
      <c r="S64" s="2057">
        <v>0</v>
      </c>
      <c r="T64" s="2057">
        <v>0</v>
      </c>
      <c r="U64" s="2057"/>
      <c r="V64" s="2057"/>
      <c r="W64" s="2057"/>
      <c r="X64" s="4379"/>
      <c r="Y64" s="4358"/>
    </row>
    <row r="65" spans="1:27" s="1990" customFormat="1" ht="13.5" customHeight="1">
      <c r="A65" s="4508"/>
      <c r="B65" s="3014" t="s">
        <v>30</v>
      </c>
      <c r="C65" s="4513" t="s">
        <v>35</v>
      </c>
      <c r="D65" s="3008">
        <f>+D66</f>
        <v>1585738</v>
      </c>
      <c r="E65" s="3008">
        <f>+E66</f>
        <v>0</v>
      </c>
      <c r="F65" s="3008">
        <f t="shared" ref="F65:T65" si="86">+F66</f>
        <v>0</v>
      </c>
      <c r="G65" s="3008">
        <f t="shared" si="86"/>
        <v>0</v>
      </c>
      <c r="H65" s="3008">
        <f t="shared" si="86"/>
        <v>0</v>
      </c>
      <c r="I65" s="3008">
        <f t="shared" si="86"/>
        <v>0</v>
      </c>
      <c r="J65" s="3008">
        <f t="shared" si="86"/>
        <v>0</v>
      </c>
      <c r="K65" s="3008">
        <f t="shared" si="86"/>
        <v>0</v>
      </c>
      <c r="L65" s="3008">
        <f t="shared" si="86"/>
        <v>0</v>
      </c>
      <c r="M65" s="3008">
        <f t="shared" si="86"/>
        <v>580576</v>
      </c>
      <c r="N65" s="3008">
        <f t="shared" si="86"/>
        <v>580576</v>
      </c>
      <c r="O65" s="3008">
        <f t="shared" si="86"/>
        <v>1005162</v>
      </c>
      <c r="P65" s="3008">
        <f t="shared" si="86"/>
        <v>0</v>
      </c>
      <c r="Q65" s="3008">
        <f t="shared" si="86"/>
        <v>0</v>
      </c>
      <c r="R65" s="3008">
        <f t="shared" si="86"/>
        <v>0</v>
      </c>
      <c r="S65" s="3008">
        <f t="shared" si="86"/>
        <v>0</v>
      </c>
      <c r="T65" s="3008">
        <f t="shared" si="86"/>
        <v>0</v>
      </c>
      <c r="U65" s="3008"/>
      <c r="V65" s="3008"/>
      <c r="W65" s="3008"/>
      <c r="X65" s="4379"/>
      <c r="Y65" s="4358"/>
    </row>
    <row r="66" spans="1:27" s="1990" customFormat="1" ht="13.5" customHeight="1" thickBot="1">
      <c r="A66" s="4517"/>
      <c r="B66" s="3015" t="s">
        <v>48</v>
      </c>
      <c r="C66" s="4514"/>
      <c r="D66" s="2075">
        <f>M66+O66+P66+Q66+R66+S66+T66+U66+V66+W66</f>
        <v>1585738</v>
      </c>
      <c r="E66" s="3016">
        <v>0</v>
      </c>
      <c r="F66" s="3016"/>
      <c r="G66" s="3016"/>
      <c r="H66" s="3016"/>
      <c r="I66" s="3016">
        <v>0</v>
      </c>
      <c r="J66" s="3016">
        <v>0</v>
      </c>
      <c r="K66" s="3016">
        <v>0</v>
      </c>
      <c r="L66" s="3016">
        <v>0</v>
      </c>
      <c r="M66" s="2057">
        <f>+E66+I66+J66+K66+L66+N66</f>
        <v>580576</v>
      </c>
      <c r="N66" s="3016">
        <f>1515650-935074</f>
        <v>580576</v>
      </c>
      <c r="O66" s="3016">
        <f>0+1005162</f>
        <v>1005162</v>
      </c>
      <c r="P66" s="3016">
        <v>0</v>
      </c>
      <c r="Q66" s="3016">
        <v>0</v>
      </c>
      <c r="R66" s="3016">
        <v>0</v>
      </c>
      <c r="S66" s="3016">
        <v>0</v>
      </c>
      <c r="T66" s="3016">
        <v>0</v>
      </c>
      <c r="U66" s="3016"/>
      <c r="V66" s="3016"/>
      <c r="W66" s="3016"/>
      <c r="X66" s="4380"/>
      <c r="Y66" s="4359"/>
    </row>
    <row r="67" spans="1:27" s="1990" customFormat="1" ht="27.75" customHeight="1">
      <c r="A67" s="4507" t="s">
        <v>83</v>
      </c>
      <c r="B67" s="2984" t="s">
        <v>534</v>
      </c>
      <c r="C67" s="2985" t="s">
        <v>98</v>
      </c>
      <c r="D67" s="3004"/>
      <c r="E67" s="3004"/>
      <c r="F67" s="3004"/>
      <c r="G67" s="3004"/>
      <c r="H67" s="3004"/>
      <c r="I67" s="3004"/>
      <c r="J67" s="3004"/>
      <c r="K67" s="3004"/>
      <c r="L67" s="3005"/>
      <c r="M67" s="3005"/>
      <c r="N67" s="3005"/>
      <c r="O67" s="3005"/>
      <c r="P67" s="3005"/>
      <c r="Q67" s="3005"/>
      <c r="R67" s="3005"/>
      <c r="S67" s="3006"/>
      <c r="T67" s="3006"/>
      <c r="U67" s="3006"/>
      <c r="V67" s="3006"/>
      <c r="W67" s="3006"/>
      <c r="X67" s="3009"/>
      <c r="Y67" s="4510" t="s">
        <v>235</v>
      </c>
    </row>
    <row r="68" spans="1:27" s="1990" customFormat="1" ht="13.5" customHeight="1">
      <c r="A68" s="4508"/>
      <c r="B68" s="2961" t="s">
        <v>22</v>
      </c>
      <c r="C68" s="3013"/>
      <c r="D68" s="2065">
        <f>+D69+D72</f>
        <v>8092844</v>
      </c>
      <c r="E68" s="2065">
        <f>+E69+E72</f>
        <v>0</v>
      </c>
      <c r="F68" s="2065"/>
      <c r="G68" s="2065"/>
      <c r="H68" s="2065"/>
      <c r="I68" s="2065">
        <f t="shared" ref="I68:O68" si="87">+I69+I72</f>
        <v>0</v>
      </c>
      <c r="J68" s="2065">
        <f t="shared" si="87"/>
        <v>0</v>
      </c>
      <c r="K68" s="2065">
        <f t="shared" si="87"/>
        <v>0</v>
      </c>
      <c r="L68" s="2065">
        <f t="shared" si="87"/>
        <v>0</v>
      </c>
      <c r="M68" s="2065">
        <f t="shared" ref="M68" si="88">+M69+M72</f>
        <v>64998</v>
      </c>
      <c r="N68" s="2065">
        <f t="shared" si="87"/>
        <v>0</v>
      </c>
      <c r="O68" s="2065">
        <f t="shared" si="87"/>
        <v>8027846</v>
      </c>
      <c r="P68" s="2065">
        <f>+P69+P72</f>
        <v>0</v>
      </c>
      <c r="Q68" s="2065">
        <f>+Q69+Q72</f>
        <v>0</v>
      </c>
      <c r="R68" s="2065">
        <f>+R69+R72</f>
        <v>0</v>
      </c>
      <c r="S68" s="2065">
        <f>+S69+S72</f>
        <v>0</v>
      </c>
      <c r="T68" s="2065">
        <f>+T69+T72</f>
        <v>0</v>
      </c>
      <c r="U68" s="2065"/>
      <c r="V68" s="2065"/>
      <c r="W68" s="2065"/>
      <c r="X68" s="2071">
        <f>+X69</f>
        <v>0</v>
      </c>
      <c r="Y68" s="4358"/>
      <c r="AA68" s="803"/>
    </row>
    <row r="69" spans="1:27" s="1990" customFormat="1" ht="13.5" customHeight="1">
      <c r="A69" s="4508"/>
      <c r="B69" s="2972" t="s">
        <v>36</v>
      </c>
      <c r="C69" s="4513" t="s">
        <v>35</v>
      </c>
      <c r="D69" s="2067">
        <f>D71+D70</f>
        <v>3178534</v>
      </c>
      <c r="E69" s="2067">
        <f>E71+E70</f>
        <v>0</v>
      </c>
      <c r="F69" s="2067">
        <f t="shared" ref="F69:O69" si="89">F71+F70</f>
        <v>0</v>
      </c>
      <c r="G69" s="2067">
        <f t="shared" si="89"/>
        <v>0</v>
      </c>
      <c r="H69" s="2067">
        <f t="shared" si="89"/>
        <v>0</v>
      </c>
      <c r="I69" s="2067">
        <f>I71+I70</f>
        <v>0</v>
      </c>
      <c r="J69" s="2067">
        <f t="shared" si="89"/>
        <v>0</v>
      </c>
      <c r="K69" s="2067">
        <f t="shared" si="89"/>
        <v>0</v>
      </c>
      <c r="L69" s="2067">
        <f t="shared" si="89"/>
        <v>0</v>
      </c>
      <c r="M69" s="2067">
        <f t="shared" ref="M69" si="90">M71+M70</f>
        <v>64998</v>
      </c>
      <c r="N69" s="2067">
        <f t="shared" si="89"/>
        <v>0</v>
      </c>
      <c r="O69" s="2067">
        <f t="shared" si="89"/>
        <v>3113536</v>
      </c>
      <c r="P69" s="2067">
        <f>P71+P70</f>
        <v>0</v>
      </c>
      <c r="Q69" s="2067">
        <f>Q71+Q70</f>
        <v>0</v>
      </c>
      <c r="R69" s="2067">
        <f>R71+R70</f>
        <v>0</v>
      </c>
      <c r="S69" s="2067">
        <f>S71+S70</f>
        <v>0</v>
      </c>
      <c r="T69" s="2067">
        <f>T71+T70</f>
        <v>0</v>
      </c>
      <c r="U69" s="2067"/>
      <c r="V69" s="2067"/>
      <c r="W69" s="2067"/>
      <c r="X69" s="2046">
        <f>+X71</f>
        <v>0</v>
      </c>
      <c r="Y69" s="4358"/>
    </row>
    <row r="70" spans="1:27" s="1990" customFormat="1" ht="13.5" customHeight="1">
      <c r="A70" s="4508"/>
      <c r="B70" s="3010" t="s">
        <v>45</v>
      </c>
      <c r="C70" s="4514"/>
      <c r="D70" s="2075">
        <f t="shared" ref="D70:D71" si="91">M70+O70+P70+Q70+R70+S70+T70+U70+V70+W70</f>
        <v>64998</v>
      </c>
      <c r="E70" s="2990">
        <v>0</v>
      </c>
      <c r="F70" s="2990"/>
      <c r="G70" s="2990"/>
      <c r="H70" s="2990"/>
      <c r="I70" s="2990">
        <v>0</v>
      </c>
      <c r="J70" s="2990">
        <v>0</v>
      </c>
      <c r="K70" s="2990">
        <v>0</v>
      </c>
      <c r="L70" s="2990">
        <f>49200-49200</f>
        <v>0</v>
      </c>
      <c r="M70" s="2057">
        <f>64998</f>
        <v>64998</v>
      </c>
      <c r="N70" s="2990">
        <v>0</v>
      </c>
      <c r="O70" s="2990">
        <v>0</v>
      </c>
      <c r="P70" s="2990">
        <v>0</v>
      </c>
      <c r="Q70" s="2990">
        <v>0</v>
      </c>
      <c r="R70" s="2990">
        <v>0</v>
      </c>
      <c r="S70" s="2990">
        <v>0</v>
      </c>
      <c r="T70" s="2990">
        <v>0</v>
      </c>
      <c r="U70" s="2990"/>
      <c r="V70" s="2990"/>
      <c r="W70" s="2990"/>
      <c r="X70" s="3007" t="s">
        <v>77</v>
      </c>
      <c r="Y70" s="4358"/>
    </row>
    <row r="71" spans="1:27" s="1990" customFormat="1" ht="22.5" customHeight="1">
      <c r="A71" s="4508"/>
      <c r="B71" s="3017" t="s">
        <v>175</v>
      </c>
      <c r="C71" s="3018" t="s">
        <v>236</v>
      </c>
      <c r="D71" s="2075">
        <f t="shared" si="91"/>
        <v>3113536</v>
      </c>
      <c r="E71" s="2990">
        <v>0</v>
      </c>
      <c r="F71" s="2990"/>
      <c r="G71" s="2990"/>
      <c r="H71" s="2990"/>
      <c r="I71" s="2990">
        <v>0</v>
      </c>
      <c r="J71" s="2990">
        <v>0</v>
      </c>
      <c r="K71" s="2990">
        <v>0</v>
      </c>
      <c r="L71" s="2990">
        <v>0</v>
      </c>
      <c r="M71" s="2075">
        <f>+E71+I71+J71+K71+L71+N71</f>
        <v>0</v>
      </c>
      <c r="N71" s="2990">
        <f>1600026-1600026</f>
        <v>0</v>
      </c>
      <c r="O71" s="2994">
        <f>1663072+1600026-149562</f>
        <v>3113536</v>
      </c>
      <c r="P71" s="2994">
        <v>0</v>
      </c>
      <c r="Q71" s="2994">
        <v>0</v>
      </c>
      <c r="R71" s="2994">
        <v>0</v>
      </c>
      <c r="S71" s="2994">
        <v>0</v>
      </c>
      <c r="T71" s="2994">
        <v>0</v>
      </c>
      <c r="U71" s="2994"/>
      <c r="V71" s="2994"/>
      <c r="W71" s="2994"/>
      <c r="X71" s="2151">
        <f>SUM(P71:T71)</f>
        <v>0</v>
      </c>
      <c r="Y71" s="4358"/>
    </row>
    <row r="72" spans="1:27" s="1990" customFormat="1" ht="13.5" customHeight="1">
      <c r="A72" s="4508"/>
      <c r="B72" s="3019" t="s">
        <v>30</v>
      </c>
      <c r="C72" s="4513" t="s">
        <v>35</v>
      </c>
      <c r="D72" s="2067">
        <f>+D73</f>
        <v>4914310</v>
      </c>
      <c r="E72" s="2067">
        <f>+E73</f>
        <v>0</v>
      </c>
      <c r="F72" s="2067"/>
      <c r="G72" s="2067"/>
      <c r="H72" s="2067"/>
      <c r="I72" s="2067">
        <f t="shared" ref="I72:X72" si="92">+I73</f>
        <v>0</v>
      </c>
      <c r="J72" s="2067">
        <f t="shared" si="92"/>
        <v>0</v>
      </c>
      <c r="K72" s="2067">
        <f t="shared" si="92"/>
        <v>0</v>
      </c>
      <c r="L72" s="2067">
        <f t="shared" si="92"/>
        <v>0</v>
      </c>
      <c r="M72" s="2067">
        <f t="shared" si="92"/>
        <v>0</v>
      </c>
      <c r="N72" s="2067">
        <f t="shared" si="92"/>
        <v>0</v>
      </c>
      <c r="O72" s="2067">
        <f t="shared" si="92"/>
        <v>4914310</v>
      </c>
      <c r="P72" s="2067">
        <f t="shared" si="92"/>
        <v>0</v>
      </c>
      <c r="Q72" s="2067">
        <f t="shared" si="92"/>
        <v>0</v>
      </c>
      <c r="R72" s="2067">
        <f t="shared" si="92"/>
        <v>0</v>
      </c>
      <c r="S72" s="2067">
        <f t="shared" si="92"/>
        <v>0</v>
      </c>
      <c r="T72" s="2067">
        <f t="shared" si="92"/>
        <v>0</v>
      </c>
      <c r="U72" s="2976"/>
      <c r="V72" s="2976"/>
      <c r="W72" s="2976"/>
      <c r="X72" s="2992" t="str">
        <f t="shared" si="92"/>
        <v>x</v>
      </c>
      <c r="Y72" s="4358"/>
    </row>
    <row r="73" spans="1:27" s="1990" customFormat="1" ht="12">
      <c r="A73" s="4508"/>
      <c r="B73" s="3010" t="s">
        <v>48</v>
      </c>
      <c r="C73" s="4514"/>
      <c r="D73" s="2075">
        <f>M73+O73+P73+Q73+R73+S73+T73+U73+V73+W73</f>
        <v>4914310</v>
      </c>
      <c r="E73" s="2990">
        <v>0</v>
      </c>
      <c r="F73" s="2990"/>
      <c r="G73" s="2990"/>
      <c r="H73" s="2990"/>
      <c r="I73" s="2990">
        <v>0</v>
      </c>
      <c r="J73" s="2990">
        <v>0</v>
      </c>
      <c r="K73" s="2990">
        <v>0</v>
      </c>
      <c r="L73" s="2990">
        <v>0</v>
      </c>
      <c r="M73" s="2057">
        <f>+E73+I73+J73+K73+L73+N73</f>
        <v>0</v>
      </c>
      <c r="N73" s="2990">
        <f>2462025-2462025</f>
        <v>0</v>
      </c>
      <c r="O73" s="2990">
        <f>2682612+2462025-230327</f>
        <v>4914310</v>
      </c>
      <c r="P73" s="2990">
        <v>0</v>
      </c>
      <c r="Q73" s="2990">
        <v>0</v>
      </c>
      <c r="R73" s="2990">
        <v>0</v>
      </c>
      <c r="S73" s="2990">
        <v>0</v>
      </c>
      <c r="T73" s="2990">
        <v>0</v>
      </c>
      <c r="U73" s="2990"/>
      <c r="V73" s="2990"/>
      <c r="W73" s="2990"/>
      <c r="X73" s="3007" t="s">
        <v>77</v>
      </c>
      <c r="Y73" s="4358"/>
    </row>
    <row r="74" spans="1:27" s="1990" customFormat="1" ht="13.5" customHeight="1">
      <c r="A74" s="4508"/>
      <c r="B74" s="2961" t="s">
        <v>34</v>
      </c>
      <c r="C74" s="3013"/>
      <c r="D74" s="2065">
        <f>D77+D75</f>
        <v>6402455</v>
      </c>
      <c r="E74" s="2065">
        <f t="shared" ref="E74:P74" si="93">E77+E75</f>
        <v>0</v>
      </c>
      <c r="F74" s="2065">
        <f t="shared" si="93"/>
        <v>0</v>
      </c>
      <c r="G74" s="2065">
        <f t="shared" si="93"/>
        <v>0</v>
      </c>
      <c r="H74" s="2065">
        <f t="shared" si="93"/>
        <v>0</v>
      </c>
      <c r="I74" s="2065">
        <f t="shared" si="93"/>
        <v>0</v>
      </c>
      <c r="J74" s="2065">
        <f t="shared" si="93"/>
        <v>0</v>
      </c>
      <c r="K74" s="2065">
        <f t="shared" si="93"/>
        <v>0</v>
      </c>
      <c r="L74" s="2065">
        <f t="shared" si="93"/>
        <v>0</v>
      </c>
      <c r="M74" s="2065">
        <f t="shared" ref="M74" si="94">M77+M75</f>
        <v>0</v>
      </c>
      <c r="N74" s="2065">
        <f t="shared" si="93"/>
        <v>0</v>
      </c>
      <c r="O74" s="2065">
        <f t="shared" si="93"/>
        <v>5589052</v>
      </c>
      <c r="P74" s="2065">
        <f t="shared" si="93"/>
        <v>813403</v>
      </c>
      <c r="Q74" s="2065">
        <f>+Q75+Q77</f>
        <v>0</v>
      </c>
      <c r="R74" s="2065">
        <f>+R75+R77</f>
        <v>0</v>
      </c>
      <c r="S74" s="2065">
        <f>+S75+S77</f>
        <v>0</v>
      </c>
      <c r="T74" s="2065">
        <f>+T75+T77</f>
        <v>0</v>
      </c>
      <c r="U74" s="2065"/>
      <c r="V74" s="2065"/>
      <c r="W74" s="2065"/>
      <c r="X74" s="4424" t="s">
        <v>77</v>
      </c>
      <c r="Y74" s="4358"/>
    </row>
    <row r="75" spans="1:27" s="1990" customFormat="1" ht="13.5" customHeight="1">
      <c r="A75" s="4508"/>
      <c r="B75" s="2972" t="s">
        <v>36</v>
      </c>
      <c r="C75" s="4515" t="s">
        <v>236</v>
      </c>
      <c r="D75" s="3020">
        <f>+D76</f>
        <v>1488145</v>
      </c>
      <c r="E75" s="3020">
        <f>+E76</f>
        <v>0</v>
      </c>
      <c r="F75" s="3020"/>
      <c r="G75" s="3020"/>
      <c r="H75" s="3020"/>
      <c r="I75" s="3020">
        <f t="shared" ref="I75:T75" si="95">+I76</f>
        <v>0</v>
      </c>
      <c r="J75" s="3020">
        <f t="shared" si="95"/>
        <v>0</v>
      </c>
      <c r="K75" s="3020">
        <f t="shared" si="95"/>
        <v>0</v>
      </c>
      <c r="L75" s="3020">
        <f t="shared" si="95"/>
        <v>0</v>
      </c>
      <c r="M75" s="3020">
        <f t="shared" si="95"/>
        <v>0</v>
      </c>
      <c r="N75" s="3020">
        <f t="shared" si="95"/>
        <v>0</v>
      </c>
      <c r="O75" s="3020">
        <f t="shared" si="95"/>
        <v>674742</v>
      </c>
      <c r="P75" s="3020">
        <f t="shared" si="95"/>
        <v>813403</v>
      </c>
      <c r="Q75" s="3020">
        <f t="shared" si="95"/>
        <v>0</v>
      </c>
      <c r="R75" s="3020">
        <f t="shared" si="95"/>
        <v>0</v>
      </c>
      <c r="S75" s="3020">
        <f t="shared" si="95"/>
        <v>0</v>
      </c>
      <c r="T75" s="3020">
        <f t="shared" si="95"/>
        <v>0</v>
      </c>
      <c r="U75" s="3020"/>
      <c r="V75" s="3020"/>
      <c r="W75" s="3020"/>
      <c r="X75" s="4379"/>
      <c r="Y75" s="4511"/>
    </row>
    <row r="76" spans="1:27" s="1990" customFormat="1" ht="13.5" customHeight="1">
      <c r="A76" s="4508"/>
      <c r="B76" s="3010" t="s">
        <v>202</v>
      </c>
      <c r="C76" s="4516"/>
      <c r="D76" s="2075">
        <f>M76+O76+P76+Q76+R76+S76+T76+U76+V76+W76</f>
        <v>1488145</v>
      </c>
      <c r="E76" s="2990">
        <v>0</v>
      </c>
      <c r="F76" s="2990"/>
      <c r="G76" s="2990"/>
      <c r="H76" s="2990"/>
      <c r="I76" s="2990">
        <v>0</v>
      </c>
      <c r="J76" s="2990">
        <v>0</v>
      </c>
      <c r="K76" s="2990">
        <v>0</v>
      </c>
      <c r="L76" s="2990">
        <v>0</v>
      </c>
      <c r="M76" s="2057">
        <f>+E76+I76+J76+K76+L76+N76</f>
        <v>0</v>
      </c>
      <c r="N76" s="2990">
        <f>748351-748351</f>
        <v>0</v>
      </c>
      <c r="O76" s="2990">
        <f>808868+748351-882477</f>
        <v>674742</v>
      </c>
      <c r="P76" s="2990">
        <v>813403</v>
      </c>
      <c r="Q76" s="2990">
        <v>0</v>
      </c>
      <c r="R76" s="2990">
        <v>0</v>
      </c>
      <c r="S76" s="2990">
        <v>0</v>
      </c>
      <c r="T76" s="2990">
        <v>0</v>
      </c>
      <c r="U76" s="2990"/>
      <c r="V76" s="2990"/>
      <c r="W76" s="2990"/>
      <c r="X76" s="4379"/>
      <c r="Y76" s="4511"/>
    </row>
    <row r="77" spans="1:27" s="1990" customFormat="1" ht="13.5" customHeight="1">
      <c r="A77" s="4508"/>
      <c r="B77" s="3010" t="s">
        <v>30</v>
      </c>
      <c r="C77" s="4513" t="s">
        <v>35</v>
      </c>
      <c r="D77" s="2067">
        <f>+D78</f>
        <v>4914310</v>
      </c>
      <c r="E77" s="2067">
        <f>+E78</f>
        <v>0</v>
      </c>
      <c r="F77" s="2067"/>
      <c r="G77" s="2067"/>
      <c r="H77" s="2067"/>
      <c r="I77" s="2067">
        <f t="shared" ref="I77:T77" si="96">+I78</f>
        <v>0</v>
      </c>
      <c r="J77" s="2067">
        <f t="shared" si="96"/>
        <v>0</v>
      </c>
      <c r="K77" s="2067">
        <f t="shared" si="96"/>
        <v>0</v>
      </c>
      <c r="L77" s="2067">
        <f t="shared" si="96"/>
        <v>0</v>
      </c>
      <c r="M77" s="2067">
        <f t="shared" si="96"/>
        <v>0</v>
      </c>
      <c r="N77" s="2067">
        <f t="shared" si="96"/>
        <v>0</v>
      </c>
      <c r="O77" s="2067">
        <f t="shared" si="96"/>
        <v>4914310</v>
      </c>
      <c r="P77" s="2067">
        <f t="shared" si="96"/>
        <v>0</v>
      </c>
      <c r="Q77" s="2067">
        <f t="shared" si="96"/>
        <v>0</v>
      </c>
      <c r="R77" s="2067">
        <f t="shared" si="96"/>
        <v>0</v>
      </c>
      <c r="S77" s="2067">
        <f t="shared" si="96"/>
        <v>0</v>
      </c>
      <c r="T77" s="2067">
        <f t="shared" si="96"/>
        <v>0</v>
      </c>
      <c r="U77" s="2067"/>
      <c r="V77" s="2067"/>
      <c r="W77" s="2067"/>
      <c r="X77" s="4379"/>
      <c r="Y77" s="4511"/>
    </row>
    <row r="78" spans="1:27" s="1990" customFormat="1" ht="13.5" customHeight="1" thickBot="1">
      <c r="A78" s="4509"/>
      <c r="B78" s="2978" t="s">
        <v>48</v>
      </c>
      <c r="C78" s="4514"/>
      <c r="D78" s="2075">
        <f>M78+O78+P78+Q78+R78+S78+T78+U78+V78+W78</f>
        <v>4914310</v>
      </c>
      <c r="E78" s="796">
        <v>0</v>
      </c>
      <c r="F78" s="796"/>
      <c r="G78" s="796"/>
      <c r="H78" s="796"/>
      <c r="I78" s="796">
        <v>0</v>
      </c>
      <c r="J78" s="796">
        <v>0</v>
      </c>
      <c r="K78" s="796">
        <v>0</v>
      </c>
      <c r="L78" s="796">
        <v>0</v>
      </c>
      <c r="M78" s="2057">
        <f>+E78+I78+J78+K78+L78+N78</f>
        <v>0</v>
      </c>
      <c r="N78" s="796">
        <f>2492025-2492025</f>
        <v>0</v>
      </c>
      <c r="O78" s="796">
        <f>2652612+2492025-230327</f>
        <v>4914310</v>
      </c>
      <c r="P78" s="796">
        <v>0</v>
      </c>
      <c r="Q78" s="796">
        <v>0</v>
      </c>
      <c r="R78" s="796">
        <v>0</v>
      </c>
      <c r="S78" s="796">
        <v>0</v>
      </c>
      <c r="T78" s="796">
        <v>0</v>
      </c>
      <c r="U78" s="796"/>
      <c r="V78" s="796"/>
      <c r="W78" s="796"/>
      <c r="X78" s="4380"/>
      <c r="Y78" s="4512"/>
    </row>
    <row r="79" spans="1:27" s="1990" customFormat="1" ht="39" customHeight="1">
      <c r="A79" s="4491" t="s">
        <v>140</v>
      </c>
      <c r="B79" s="3758" t="s">
        <v>623</v>
      </c>
      <c r="C79" s="3759" t="s">
        <v>98</v>
      </c>
      <c r="D79" s="3760"/>
      <c r="E79" s="3760"/>
      <c r="F79" s="3761"/>
      <c r="G79" s="3761"/>
      <c r="H79" s="3761"/>
      <c r="I79" s="3761"/>
      <c r="J79" s="3761"/>
      <c r="K79" s="3761"/>
      <c r="L79" s="3761"/>
      <c r="M79" s="3761"/>
      <c r="N79" s="3761"/>
      <c r="O79" s="3761"/>
      <c r="P79" s="3761"/>
      <c r="Q79" s="3761"/>
      <c r="R79" s="3761"/>
      <c r="S79" s="3762"/>
      <c r="T79" s="3762"/>
      <c r="U79" s="3762"/>
      <c r="V79" s="3762"/>
      <c r="W79" s="3762"/>
      <c r="X79" s="3786"/>
      <c r="Y79" s="4494" t="s">
        <v>240</v>
      </c>
    </row>
    <row r="80" spans="1:27" s="2165" customFormat="1" ht="16.5" customHeight="1">
      <c r="A80" s="4492"/>
      <c r="B80" s="3764" t="s">
        <v>22</v>
      </c>
      <c r="C80" s="3787"/>
      <c r="D80" s="3788">
        <f>+D81+D84</f>
        <v>27212815</v>
      </c>
      <c r="E80" s="3788">
        <f>+E81+E84</f>
        <v>0</v>
      </c>
      <c r="F80" s="3788"/>
      <c r="G80" s="3788"/>
      <c r="H80" s="3788"/>
      <c r="I80" s="3788">
        <f>I81</f>
        <v>0</v>
      </c>
      <c r="J80" s="3788">
        <f t="shared" ref="J80:R80" si="97">+J81+J84</f>
        <v>37202</v>
      </c>
      <c r="K80" s="3788">
        <f t="shared" si="97"/>
        <v>145091</v>
      </c>
      <c r="L80" s="3788">
        <f t="shared" si="97"/>
        <v>394112</v>
      </c>
      <c r="M80" s="3788">
        <f t="shared" ref="M80" si="98">+M81+M84</f>
        <v>4172665</v>
      </c>
      <c r="N80" s="3788">
        <f t="shared" si="97"/>
        <v>3601840</v>
      </c>
      <c r="O80" s="3788">
        <f t="shared" si="97"/>
        <v>23034570</v>
      </c>
      <c r="P80" s="3788">
        <f t="shared" si="97"/>
        <v>0</v>
      </c>
      <c r="Q80" s="3788">
        <f t="shared" si="97"/>
        <v>0</v>
      </c>
      <c r="R80" s="3788">
        <f t="shared" si="97"/>
        <v>0</v>
      </c>
      <c r="S80" s="3788">
        <f t="shared" ref="S80:T80" si="99">+S81+S84</f>
        <v>0</v>
      </c>
      <c r="T80" s="3788">
        <f t="shared" si="99"/>
        <v>0</v>
      </c>
      <c r="U80" s="3788"/>
      <c r="V80" s="3788"/>
      <c r="W80" s="3788"/>
      <c r="X80" s="3789">
        <f>+X81</f>
        <v>0</v>
      </c>
      <c r="Y80" s="4495"/>
    </row>
    <row r="81" spans="1:86" s="1990" customFormat="1" ht="13.5" customHeight="1">
      <c r="A81" s="4492"/>
      <c r="B81" s="3790" t="s">
        <v>36</v>
      </c>
      <c r="C81" s="4498" t="s">
        <v>241</v>
      </c>
      <c r="D81" s="3769">
        <f>+D83+D82</f>
        <v>8370207</v>
      </c>
      <c r="E81" s="3769">
        <f t="shared" ref="E81:M81" si="100">E83</f>
        <v>0</v>
      </c>
      <c r="F81" s="3769"/>
      <c r="G81" s="3769"/>
      <c r="H81" s="3769"/>
      <c r="I81" s="3769">
        <f t="shared" si="100"/>
        <v>0</v>
      </c>
      <c r="J81" s="3769">
        <f>J82</f>
        <v>5580</v>
      </c>
      <c r="K81" s="3769">
        <f>K83</f>
        <v>145091</v>
      </c>
      <c r="L81" s="3769">
        <f t="shared" si="100"/>
        <v>73696</v>
      </c>
      <c r="M81" s="3769">
        <f t="shared" si="100"/>
        <v>1616017</v>
      </c>
      <c r="N81" s="3769">
        <f t="shared" ref="N81:T81" si="101">N83</f>
        <v>1397230</v>
      </c>
      <c r="O81" s="3769">
        <f t="shared" si="101"/>
        <v>6748610</v>
      </c>
      <c r="P81" s="3769">
        <f t="shared" si="101"/>
        <v>0</v>
      </c>
      <c r="Q81" s="3769">
        <f t="shared" si="101"/>
        <v>0</v>
      </c>
      <c r="R81" s="3769">
        <f t="shared" si="101"/>
        <v>0</v>
      </c>
      <c r="S81" s="3769">
        <f t="shared" si="101"/>
        <v>0</v>
      </c>
      <c r="T81" s="3769">
        <f t="shared" si="101"/>
        <v>0</v>
      </c>
      <c r="U81" s="3769"/>
      <c r="V81" s="3769"/>
      <c r="W81" s="3769"/>
      <c r="X81" s="3770">
        <f>+X83</f>
        <v>0</v>
      </c>
      <c r="Y81" s="4495"/>
    </row>
    <row r="82" spans="1:86" s="1990" customFormat="1" ht="13.5" customHeight="1">
      <c r="A82" s="4492"/>
      <c r="B82" s="3775" t="s">
        <v>45</v>
      </c>
      <c r="C82" s="4499"/>
      <c r="D82" s="3772">
        <f>M82+O82+P82+Q82+R82+S82+T82+U82+V82+W82</f>
        <v>5580</v>
      </c>
      <c r="E82" s="3769"/>
      <c r="F82" s="3769"/>
      <c r="G82" s="3769"/>
      <c r="H82" s="3769"/>
      <c r="I82" s="3769"/>
      <c r="J82" s="3773">
        <v>5580</v>
      </c>
      <c r="K82" s="3769"/>
      <c r="L82" s="3769"/>
      <c r="M82" s="3773">
        <f>+E82+I82+J82+K82+L82+N82</f>
        <v>5580</v>
      </c>
      <c r="N82" s="3769"/>
      <c r="O82" s="3769"/>
      <c r="P82" s="3769"/>
      <c r="Q82" s="3769"/>
      <c r="R82" s="3769"/>
      <c r="S82" s="3769"/>
      <c r="T82" s="3769"/>
      <c r="U82" s="3769"/>
      <c r="V82" s="3769"/>
      <c r="W82" s="3769"/>
      <c r="X82" s="3770">
        <v>0</v>
      </c>
      <c r="Y82" s="4495"/>
    </row>
    <row r="83" spans="1:86" s="1990" customFormat="1" ht="13.5" customHeight="1">
      <c r="A83" s="4492"/>
      <c r="B83" s="3791" t="s">
        <v>175</v>
      </c>
      <c r="C83" s="4500"/>
      <c r="D83" s="3772">
        <f>M83+O83+P83+Q83+R83+S83+T83+U83+V83+W83</f>
        <v>8364627</v>
      </c>
      <c r="E83" s="3773">
        <v>0</v>
      </c>
      <c r="F83" s="3773"/>
      <c r="G83" s="3773"/>
      <c r="H83" s="3773"/>
      <c r="I83" s="3773">
        <v>0</v>
      </c>
      <c r="J83" s="3773">
        <v>0</v>
      </c>
      <c r="K83" s="3773">
        <f>306585-161494</f>
        <v>145091</v>
      </c>
      <c r="L83" s="3773">
        <f>1762866+1748664-3437834</f>
        <v>73696</v>
      </c>
      <c r="M83" s="3773">
        <f>+E83+I83+J83+K83+L83+N83</f>
        <v>1616017</v>
      </c>
      <c r="N83" s="3773">
        <f>1762866+515476+3795972+3437834-8114918</f>
        <v>1397230</v>
      </c>
      <c r="O83" s="3773">
        <f>0+8114918+950400+96652-2413360</f>
        <v>6748610</v>
      </c>
      <c r="P83" s="3773">
        <v>0</v>
      </c>
      <c r="Q83" s="3773">
        <v>0</v>
      </c>
      <c r="R83" s="3773">
        <v>0</v>
      </c>
      <c r="S83" s="3773">
        <v>0</v>
      </c>
      <c r="T83" s="3773">
        <v>0</v>
      </c>
      <c r="U83" s="3773"/>
      <c r="V83" s="3773"/>
      <c r="W83" s="3773"/>
      <c r="X83" s="3774">
        <f>SUM(P83:T83)</f>
        <v>0</v>
      </c>
      <c r="Y83" s="4495"/>
    </row>
    <row r="84" spans="1:86" s="1990" customFormat="1" ht="13.5" customHeight="1">
      <c r="A84" s="4492"/>
      <c r="B84" s="3792" t="s">
        <v>30</v>
      </c>
      <c r="C84" s="4501" t="s">
        <v>35</v>
      </c>
      <c r="D84" s="3769">
        <f>+D85</f>
        <v>18842608</v>
      </c>
      <c r="E84" s="3769">
        <f>+E85</f>
        <v>0</v>
      </c>
      <c r="F84" s="3769"/>
      <c r="G84" s="3769"/>
      <c r="H84" s="3769"/>
      <c r="I84" s="3769">
        <f t="shared" ref="I84:X84" si="102">+I85</f>
        <v>0</v>
      </c>
      <c r="J84" s="3769">
        <f t="shared" si="102"/>
        <v>31622</v>
      </c>
      <c r="K84" s="3769">
        <f t="shared" si="102"/>
        <v>0</v>
      </c>
      <c r="L84" s="3769">
        <f t="shared" si="102"/>
        <v>320416</v>
      </c>
      <c r="M84" s="3769">
        <f t="shared" si="102"/>
        <v>2556648</v>
      </c>
      <c r="N84" s="3769">
        <f t="shared" si="102"/>
        <v>2204610</v>
      </c>
      <c r="O84" s="3769">
        <f t="shared" si="102"/>
        <v>16285960</v>
      </c>
      <c r="P84" s="3769">
        <f t="shared" si="102"/>
        <v>0</v>
      </c>
      <c r="Q84" s="3769">
        <f t="shared" si="102"/>
        <v>0</v>
      </c>
      <c r="R84" s="3769">
        <f t="shared" si="102"/>
        <v>0</v>
      </c>
      <c r="S84" s="3769">
        <f t="shared" si="102"/>
        <v>0</v>
      </c>
      <c r="T84" s="3769">
        <f t="shared" si="102"/>
        <v>0</v>
      </c>
      <c r="U84" s="3779"/>
      <c r="V84" s="3779"/>
      <c r="W84" s="3779"/>
      <c r="X84" s="3780" t="str">
        <f t="shared" si="102"/>
        <v>x</v>
      </c>
      <c r="Y84" s="4495"/>
    </row>
    <row r="85" spans="1:86" s="1990" customFormat="1" ht="13.5" customHeight="1">
      <c r="A85" s="4492"/>
      <c r="B85" s="3791" t="s">
        <v>48</v>
      </c>
      <c r="C85" s="4502"/>
      <c r="D85" s="3772">
        <f>M85+O85+P85+Q85+R85+S85+T85+U85+V85+W85</f>
        <v>18842608</v>
      </c>
      <c r="E85" s="3773">
        <v>0</v>
      </c>
      <c r="F85" s="3773"/>
      <c r="G85" s="3773"/>
      <c r="H85" s="3773"/>
      <c r="I85" s="3773">
        <v>0</v>
      </c>
      <c r="J85" s="3773">
        <v>31622</v>
      </c>
      <c r="K85" s="3773">
        <f>493415-493415</f>
        <v>0</v>
      </c>
      <c r="L85" s="3773">
        <f>2837134+2876336-5393054</f>
        <v>320416</v>
      </c>
      <c r="M85" s="3773">
        <f>+E85+I85+J85+K85+L85+N85</f>
        <v>2556648</v>
      </c>
      <c r="N85" s="3773">
        <f>2837134+722775+5931206+5393054-12679559</f>
        <v>2204610</v>
      </c>
      <c r="O85" s="3773">
        <f>0+12679559+1485000+163848+1957553</f>
        <v>16285960</v>
      </c>
      <c r="P85" s="3773">
        <v>0</v>
      </c>
      <c r="Q85" s="3773">
        <v>0</v>
      </c>
      <c r="R85" s="3773">
        <v>0</v>
      </c>
      <c r="S85" s="3773">
        <v>0</v>
      </c>
      <c r="T85" s="3773">
        <v>0</v>
      </c>
      <c r="U85" s="3776"/>
      <c r="V85" s="3776"/>
      <c r="W85" s="3776"/>
      <c r="X85" s="3780" t="s">
        <v>77</v>
      </c>
      <c r="Y85" s="4495"/>
    </row>
    <row r="86" spans="1:86" s="2165" customFormat="1" ht="16.5" customHeight="1">
      <c r="A86" s="4492"/>
      <c r="B86" s="3764" t="s">
        <v>34</v>
      </c>
      <c r="C86" s="3787"/>
      <c r="D86" s="3788">
        <f>D89+D87</f>
        <v>23764671</v>
      </c>
      <c r="E86" s="3788">
        <f t="shared" ref="E86:J86" si="103">E89</f>
        <v>0</v>
      </c>
      <c r="F86" s="3788"/>
      <c r="G86" s="3788"/>
      <c r="H86" s="3788"/>
      <c r="I86" s="3788">
        <f t="shared" si="103"/>
        <v>0</v>
      </c>
      <c r="J86" s="3788">
        <f t="shared" si="103"/>
        <v>3720</v>
      </c>
      <c r="K86" s="3788">
        <f t="shared" ref="K86:R86" si="104">K89+K87</f>
        <v>6444</v>
      </c>
      <c r="L86" s="3788">
        <f t="shared" si="104"/>
        <v>89342</v>
      </c>
      <c r="M86" s="3788">
        <f t="shared" ref="M86" si="105">M89+M87</f>
        <v>3362575</v>
      </c>
      <c r="N86" s="3788">
        <f t="shared" si="104"/>
        <v>3263069</v>
      </c>
      <c r="O86" s="3788">
        <f t="shared" si="104"/>
        <v>18868163</v>
      </c>
      <c r="P86" s="3788">
        <f t="shared" si="104"/>
        <v>1533933</v>
      </c>
      <c r="Q86" s="3788">
        <f t="shared" si="104"/>
        <v>0</v>
      </c>
      <c r="R86" s="3788">
        <f t="shared" si="104"/>
        <v>0</v>
      </c>
      <c r="S86" s="3788">
        <f t="shared" ref="S86:T86" si="106">S89+S87</f>
        <v>0</v>
      </c>
      <c r="T86" s="3788">
        <f t="shared" si="106"/>
        <v>0</v>
      </c>
      <c r="U86" s="3788"/>
      <c r="V86" s="3788"/>
      <c r="W86" s="3788"/>
      <c r="X86" s="4504" t="s">
        <v>77</v>
      </c>
      <c r="Y86" s="4495"/>
    </row>
    <row r="87" spans="1:86" s="1990" customFormat="1" ht="13.5" customHeight="1">
      <c r="A87" s="4492"/>
      <c r="B87" s="3790" t="s">
        <v>36</v>
      </c>
      <c r="C87" s="4498" t="s">
        <v>241</v>
      </c>
      <c r="D87" s="3793">
        <f>+D88</f>
        <v>4922063</v>
      </c>
      <c r="E87" s="3793">
        <f t="shared" ref="E87:T87" si="107">+E88</f>
        <v>0</v>
      </c>
      <c r="F87" s="3793">
        <f t="shared" si="107"/>
        <v>0</v>
      </c>
      <c r="G87" s="3793">
        <f t="shared" si="107"/>
        <v>0</v>
      </c>
      <c r="H87" s="3793">
        <f t="shared" si="107"/>
        <v>0</v>
      </c>
      <c r="I87" s="3793">
        <f t="shared" si="107"/>
        <v>0</v>
      </c>
      <c r="J87" s="3793">
        <f t="shared" si="107"/>
        <v>0</v>
      </c>
      <c r="K87" s="3793">
        <f t="shared" si="107"/>
        <v>6444</v>
      </c>
      <c r="L87" s="3793">
        <f t="shared" si="107"/>
        <v>89342</v>
      </c>
      <c r="M87" s="3793">
        <f t="shared" si="107"/>
        <v>755831</v>
      </c>
      <c r="N87" s="3793">
        <f t="shared" si="107"/>
        <v>660045</v>
      </c>
      <c r="O87" s="3793">
        <f t="shared" si="107"/>
        <v>2632299</v>
      </c>
      <c r="P87" s="3793">
        <f t="shared" si="107"/>
        <v>1533933</v>
      </c>
      <c r="Q87" s="3793">
        <f t="shared" si="107"/>
        <v>0</v>
      </c>
      <c r="R87" s="3793">
        <f t="shared" si="107"/>
        <v>0</v>
      </c>
      <c r="S87" s="3793">
        <f t="shared" si="107"/>
        <v>0</v>
      </c>
      <c r="T87" s="3793">
        <f t="shared" si="107"/>
        <v>0</v>
      </c>
      <c r="U87" s="3793"/>
      <c r="V87" s="3793"/>
      <c r="W87" s="3793"/>
      <c r="X87" s="4505"/>
      <c r="Y87" s="4496"/>
    </row>
    <row r="88" spans="1:86" s="1990" customFormat="1" ht="13.5" customHeight="1">
      <c r="A88" s="4492"/>
      <c r="B88" s="3791" t="s">
        <v>202</v>
      </c>
      <c r="C88" s="4500"/>
      <c r="D88" s="3772">
        <f>M88+O88+P88+Q88+R88+S88+T88+U88+V88+W88</f>
        <v>4922063</v>
      </c>
      <c r="E88" s="3794">
        <v>0</v>
      </c>
      <c r="F88" s="3794"/>
      <c r="G88" s="3794"/>
      <c r="H88" s="3794"/>
      <c r="I88" s="3794">
        <v>0</v>
      </c>
      <c r="J88" s="3794">
        <v>0</v>
      </c>
      <c r="K88" s="3794">
        <f>142114-135670</f>
        <v>6444</v>
      </c>
      <c r="L88" s="3794">
        <f>817154+840926-1568738</f>
        <v>89342</v>
      </c>
      <c r="M88" s="3773">
        <f>+E88+I88+J88+K88+L88+N88</f>
        <v>755831</v>
      </c>
      <c r="N88" s="3794">
        <f>817154+219966+1727958+1568738-3673771</f>
        <v>660045</v>
      </c>
      <c r="O88" s="3794">
        <f>0+3673771+450846+41615-1533933</f>
        <v>2632299</v>
      </c>
      <c r="P88" s="3794">
        <f>0+1533933</f>
        <v>1533933</v>
      </c>
      <c r="Q88" s="3794">
        <v>0</v>
      </c>
      <c r="R88" s="3794">
        <v>0</v>
      </c>
      <c r="S88" s="3794">
        <v>0</v>
      </c>
      <c r="T88" s="3794">
        <v>0</v>
      </c>
      <c r="U88" s="3794"/>
      <c r="V88" s="3794"/>
      <c r="W88" s="3794"/>
      <c r="X88" s="4505"/>
      <c r="Y88" s="4496"/>
    </row>
    <row r="89" spans="1:86" s="1990" customFormat="1" ht="13.5" customHeight="1">
      <c r="A89" s="4492"/>
      <c r="B89" s="3792" t="s">
        <v>30</v>
      </c>
      <c r="C89" s="4501" t="s">
        <v>35</v>
      </c>
      <c r="D89" s="3769">
        <f>+D90</f>
        <v>18842608</v>
      </c>
      <c r="E89" s="3769">
        <f>+E90</f>
        <v>0</v>
      </c>
      <c r="F89" s="3769"/>
      <c r="G89" s="3769"/>
      <c r="H89" s="3769"/>
      <c r="I89" s="3769">
        <f t="shared" ref="I89:T89" si="108">+I90</f>
        <v>0</v>
      </c>
      <c r="J89" s="3769">
        <f t="shared" si="108"/>
        <v>3720</v>
      </c>
      <c r="K89" s="3769">
        <f t="shared" si="108"/>
        <v>0</v>
      </c>
      <c r="L89" s="3769">
        <f t="shared" si="108"/>
        <v>0</v>
      </c>
      <c r="M89" s="3769">
        <f t="shared" si="108"/>
        <v>2606744</v>
      </c>
      <c r="N89" s="3769">
        <f t="shared" si="108"/>
        <v>2603024</v>
      </c>
      <c r="O89" s="3769">
        <f t="shared" si="108"/>
        <v>16235864</v>
      </c>
      <c r="P89" s="3769">
        <f t="shared" si="108"/>
        <v>0</v>
      </c>
      <c r="Q89" s="3769">
        <f t="shared" si="108"/>
        <v>0</v>
      </c>
      <c r="R89" s="3769">
        <f t="shared" si="108"/>
        <v>0</v>
      </c>
      <c r="S89" s="3769">
        <f t="shared" si="108"/>
        <v>0</v>
      </c>
      <c r="T89" s="3769">
        <f t="shared" si="108"/>
        <v>0</v>
      </c>
      <c r="U89" s="3769"/>
      <c r="V89" s="3769"/>
      <c r="W89" s="3769"/>
      <c r="X89" s="4505"/>
      <c r="Y89" s="4496"/>
    </row>
    <row r="90" spans="1:86" s="1990" customFormat="1" ht="13.5" customHeight="1" thickBot="1">
      <c r="A90" s="4493"/>
      <c r="B90" s="3795" t="s">
        <v>48</v>
      </c>
      <c r="C90" s="4503"/>
      <c r="D90" s="3784">
        <f>M90+O90+P90+Q90+R90+S90+T90+U90+V90+W90</f>
        <v>18842608</v>
      </c>
      <c r="E90" s="3785">
        <v>0</v>
      </c>
      <c r="F90" s="3785"/>
      <c r="G90" s="3785"/>
      <c r="H90" s="3785">
        <f>H96+H100</f>
        <v>0</v>
      </c>
      <c r="I90" s="3785">
        <v>0</v>
      </c>
      <c r="J90" s="3785">
        <v>3720</v>
      </c>
      <c r="K90" s="3785">
        <f>493415-493415</f>
        <v>0</v>
      </c>
      <c r="L90" s="3785">
        <f>2837134+2876336-5713470</f>
        <v>0</v>
      </c>
      <c r="M90" s="3785">
        <f>+E90+I90+J90+K90+L90+N90</f>
        <v>2606744</v>
      </c>
      <c r="N90" s="3785">
        <f>2837134+722775+5931206+5713470-12601561</f>
        <v>2603024</v>
      </c>
      <c r="O90" s="3785">
        <f>0+12601561+1485000+163848+1985455</f>
        <v>16235864</v>
      </c>
      <c r="P90" s="3785">
        <v>0</v>
      </c>
      <c r="Q90" s="3785">
        <v>0</v>
      </c>
      <c r="R90" s="3785">
        <v>0</v>
      </c>
      <c r="S90" s="3785">
        <v>0</v>
      </c>
      <c r="T90" s="3785">
        <v>0</v>
      </c>
      <c r="U90" s="3785"/>
      <c r="V90" s="3785"/>
      <c r="W90" s="3785"/>
      <c r="X90" s="4506"/>
      <c r="Y90" s="4497"/>
    </row>
    <row r="91" spans="1:86" ht="6.75" customHeight="1">
      <c r="L91" s="1991"/>
    </row>
    <row r="92" spans="1:86" ht="18" customHeight="1">
      <c r="A92" s="2464" t="s">
        <v>407</v>
      </c>
      <c r="E92" s="803"/>
      <c r="F92" s="1990"/>
      <c r="G92" s="2465"/>
      <c r="L92" s="1991"/>
      <c r="Y92" s="3031"/>
      <c r="Z92" s="1990"/>
      <c r="AA92" s="1990"/>
      <c r="AB92" s="1990"/>
      <c r="AC92" s="1990"/>
      <c r="AD92" s="1990"/>
      <c r="AE92" s="1990"/>
      <c r="AF92" s="1990"/>
      <c r="AG92" s="1990"/>
      <c r="AH92" s="1990"/>
      <c r="AI92" s="1990"/>
      <c r="AJ92" s="1990"/>
      <c r="AK92" s="1990"/>
      <c r="AL92" s="1990"/>
      <c r="AM92" s="1990"/>
      <c r="AN92" s="1990"/>
      <c r="AO92" s="1990"/>
      <c r="AP92" s="1990"/>
      <c r="AQ92" s="1990"/>
      <c r="AR92" s="1990"/>
      <c r="AS92" s="1990"/>
      <c r="AT92" s="1990"/>
      <c r="AU92" s="1990"/>
      <c r="AV92" s="1990"/>
      <c r="AW92" s="1990"/>
      <c r="AX92" s="1990"/>
      <c r="AY92" s="1990"/>
      <c r="AZ92" s="1990"/>
      <c r="BA92" s="1990"/>
      <c r="BB92" s="1990"/>
      <c r="BC92" s="1990"/>
      <c r="BD92" s="1990"/>
      <c r="BE92" s="1990"/>
      <c r="BF92" s="1990"/>
      <c r="BG92" s="1990"/>
      <c r="BH92" s="1990"/>
      <c r="BI92" s="1990"/>
      <c r="BJ92" s="1990"/>
      <c r="BK92" s="1990"/>
      <c r="BL92" s="1990"/>
      <c r="BM92" s="1990"/>
      <c r="BN92" s="1990"/>
      <c r="BO92" s="1990"/>
      <c r="BP92" s="1990"/>
      <c r="BQ92" s="1990"/>
      <c r="BR92" s="1990"/>
      <c r="BS92" s="1990"/>
      <c r="BT92" s="1990"/>
      <c r="BU92" s="1990"/>
      <c r="BV92" s="1990"/>
      <c r="BW92" s="1990"/>
      <c r="BX92" s="1990"/>
      <c r="BY92" s="1990"/>
      <c r="BZ92" s="1990"/>
      <c r="CA92" s="1990"/>
      <c r="CB92" s="1990"/>
      <c r="CC92" s="1990"/>
      <c r="CD92" s="1990"/>
      <c r="CE92" s="1990"/>
      <c r="CF92" s="1990"/>
      <c r="CG92" s="1990"/>
      <c r="CH92" s="1990"/>
    </row>
    <row r="93" spans="1:86">
      <c r="E93" s="803"/>
      <c r="F93" s="1990"/>
      <c r="L93" s="1991"/>
      <c r="Y93" s="3031"/>
    </row>
    <row r="94" spans="1:86">
      <c r="E94" s="3045"/>
      <c r="F94" s="1990"/>
      <c r="L94" s="1991"/>
      <c r="Y94" s="3031"/>
    </row>
    <row r="95" spans="1:86">
      <c r="E95" s="803"/>
      <c r="F95" s="1990"/>
      <c r="L95" s="1991"/>
      <c r="Y95" s="3031"/>
    </row>
    <row r="96" spans="1:86">
      <c r="E96" s="3045"/>
      <c r="F96" s="1990"/>
      <c r="L96" s="1991"/>
      <c r="Y96" s="3031"/>
    </row>
    <row r="97" spans="5:25">
      <c r="E97" s="803"/>
      <c r="F97" s="1990"/>
      <c r="L97" s="1991"/>
      <c r="Y97" s="3031"/>
    </row>
    <row r="98" spans="5:25">
      <c r="E98" s="3046"/>
      <c r="F98" s="1990"/>
      <c r="L98" s="1991"/>
      <c r="Y98" s="3031"/>
    </row>
    <row r="99" spans="5:25">
      <c r="E99" s="803"/>
      <c r="F99" s="1990"/>
      <c r="L99" s="1991"/>
      <c r="Y99" s="3031"/>
    </row>
    <row r="100" spans="5:25">
      <c r="E100" s="3047"/>
      <c r="F100" s="1990"/>
      <c r="L100" s="1991"/>
      <c r="Y100" s="3031"/>
    </row>
    <row r="101" spans="5:25">
      <c r="E101" s="803"/>
      <c r="F101" s="1990"/>
      <c r="L101" s="1991"/>
      <c r="Y101" s="3031"/>
    </row>
    <row r="102" spans="5:25">
      <c r="E102" s="803"/>
      <c r="F102" s="1990"/>
      <c r="L102" s="1991"/>
      <c r="Y102" s="3031"/>
    </row>
    <row r="103" spans="5:25">
      <c r="E103" s="803"/>
      <c r="F103" s="1990"/>
      <c r="L103" s="1991"/>
      <c r="Y103" s="3031"/>
    </row>
    <row r="104" spans="5:25">
      <c r="E104" s="3047"/>
      <c r="L104" s="1991"/>
      <c r="Y104" s="3031"/>
    </row>
    <row r="105" spans="5:25">
      <c r="E105" s="803"/>
      <c r="L105" s="1991"/>
      <c r="Y105" s="3031"/>
    </row>
    <row r="106" spans="5:25">
      <c r="E106" s="803"/>
      <c r="L106" s="1991"/>
      <c r="Y106" s="3031"/>
    </row>
    <row r="107" spans="5:25">
      <c r="E107" s="803"/>
      <c r="F107" s="1990"/>
      <c r="L107" s="1991"/>
      <c r="Y107" s="3031"/>
    </row>
    <row r="108" spans="5:25">
      <c r="E108" s="3045"/>
      <c r="F108" s="1990"/>
      <c r="L108" s="1991"/>
      <c r="Y108" s="3031"/>
    </row>
    <row r="109" spans="5:25">
      <c r="E109" s="803"/>
      <c r="F109" s="1990"/>
      <c r="L109" s="1991"/>
      <c r="Y109" s="3031"/>
    </row>
    <row r="110" spans="5:25">
      <c r="E110" s="3045"/>
      <c r="F110" s="1990"/>
      <c r="L110" s="1991"/>
      <c r="Y110" s="3031"/>
    </row>
    <row r="111" spans="5:25">
      <c r="E111" s="803"/>
      <c r="F111" s="1990"/>
      <c r="L111" s="1991"/>
      <c r="Y111" s="3031"/>
    </row>
    <row r="112" spans="5:25">
      <c r="E112" s="3046"/>
      <c r="F112" s="1990"/>
      <c r="L112" s="1991"/>
      <c r="Y112" s="3031"/>
    </row>
    <row r="113" spans="5:25">
      <c r="E113" s="803"/>
      <c r="F113" s="1990"/>
      <c r="L113" s="1991"/>
      <c r="Y113" s="3031"/>
    </row>
    <row r="114" spans="5:25">
      <c r="E114" s="3047"/>
      <c r="F114" s="1990"/>
      <c r="L114" s="1991"/>
      <c r="Y114" s="3031"/>
    </row>
    <row r="115" spans="5:25">
      <c r="E115" s="803"/>
      <c r="F115" s="1990"/>
      <c r="L115" s="1991"/>
      <c r="Y115" s="3031"/>
    </row>
    <row r="116" spans="5:25">
      <c r="E116" s="803"/>
      <c r="F116" s="1990"/>
      <c r="L116" s="1991"/>
      <c r="Y116" s="3031"/>
    </row>
    <row r="117" spans="5:25">
      <c r="E117" s="803"/>
      <c r="F117" s="1990"/>
      <c r="L117" s="1991"/>
      <c r="Y117" s="3031"/>
    </row>
    <row r="118" spans="5:25">
      <c r="E118" s="3047"/>
      <c r="L118" s="1991"/>
      <c r="Y118" s="3031"/>
    </row>
    <row r="119" spans="5:25">
      <c r="E119" s="803"/>
      <c r="L119" s="1991"/>
      <c r="Y119" s="3031"/>
    </row>
    <row r="120" spans="5:25">
      <c r="E120" s="803"/>
      <c r="L120" s="1991"/>
      <c r="Y120" s="3031"/>
    </row>
    <row r="121" spans="5:25">
      <c r="E121" s="803"/>
      <c r="F121" s="1990"/>
      <c r="L121" s="1991"/>
      <c r="Y121" s="3031"/>
    </row>
    <row r="122" spans="5:25">
      <c r="E122" s="3045"/>
      <c r="F122" s="1990"/>
      <c r="L122" s="1991"/>
      <c r="Y122" s="3031"/>
    </row>
    <row r="123" spans="5:25">
      <c r="E123" s="803"/>
      <c r="F123" s="1990"/>
      <c r="L123" s="1991"/>
      <c r="Y123" s="3031"/>
    </row>
    <row r="124" spans="5:25">
      <c r="E124" s="3045"/>
      <c r="F124" s="1990"/>
      <c r="L124" s="1991"/>
      <c r="Y124" s="3031"/>
    </row>
    <row r="125" spans="5:25">
      <c r="E125" s="803"/>
      <c r="F125" s="1990"/>
      <c r="L125" s="1991"/>
      <c r="Y125" s="3031"/>
    </row>
    <row r="126" spans="5:25">
      <c r="E126" s="3046"/>
      <c r="F126" s="1990"/>
      <c r="L126" s="1991"/>
      <c r="Y126" s="3031"/>
    </row>
    <row r="127" spans="5:25">
      <c r="E127" s="803"/>
      <c r="F127" s="1990"/>
      <c r="L127" s="1991"/>
      <c r="Y127" s="3031"/>
    </row>
    <row r="128" spans="5:25">
      <c r="E128" s="3047"/>
      <c r="F128" s="1990"/>
      <c r="L128" s="1991"/>
      <c r="Y128" s="3031"/>
    </row>
    <row r="129" spans="5:25">
      <c r="E129" s="803"/>
      <c r="F129" s="1990"/>
      <c r="L129" s="1991"/>
      <c r="Y129" s="3031"/>
    </row>
    <row r="130" spans="5:25">
      <c r="E130" s="803"/>
      <c r="F130" s="1990"/>
      <c r="L130" s="1991"/>
      <c r="Y130" s="3031"/>
    </row>
    <row r="131" spans="5:25">
      <c r="E131" s="803"/>
      <c r="F131" s="1990"/>
      <c r="L131" s="1991"/>
      <c r="Y131" s="3031"/>
    </row>
    <row r="132" spans="5:25">
      <c r="E132" s="3047"/>
      <c r="L132" s="1991"/>
      <c r="Y132" s="3031"/>
    </row>
    <row r="133" spans="5:25">
      <c r="E133" s="803"/>
      <c r="L133" s="1991"/>
      <c r="Y133" s="3031"/>
    </row>
    <row r="134" spans="5:25">
      <c r="E134" s="803"/>
      <c r="L134" s="1991"/>
      <c r="Y134" s="3031"/>
    </row>
    <row r="135" spans="5:25">
      <c r="E135" s="803"/>
      <c r="F135" s="1990"/>
      <c r="L135" s="1991"/>
      <c r="Y135" s="3031"/>
    </row>
    <row r="136" spans="5:25">
      <c r="E136" s="3045"/>
      <c r="F136" s="1990"/>
      <c r="L136" s="1991"/>
      <c r="Y136" s="3031"/>
    </row>
    <row r="137" spans="5:25">
      <c r="E137" s="803"/>
      <c r="F137" s="1990"/>
      <c r="L137" s="1991"/>
      <c r="Y137" s="3031"/>
    </row>
    <row r="138" spans="5:25">
      <c r="E138" s="3045"/>
      <c r="F138" s="1990"/>
      <c r="L138" s="1991"/>
      <c r="Y138" s="3031"/>
    </row>
    <row r="139" spans="5:25">
      <c r="E139" s="803"/>
      <c r="F139" s="1990"/>
      <c r="L139" s="1991"/>
      <c r="Y139" s="3031"/>
    </row>
    <row r="140" spans="5:25">
      <c r="E140" s="3046"/>
      <c r="F140" s="1990"/>
      <c r="L140" s="1991"/>
      <c r="Y140" s="3031"/>
    </row>
    <row r="141" spans="5:25">
      <c r="E141" s="803"/>
      <c r="F141" s="1990"/>
      <c r="L141" s="1991"/>
      <c r="Y141" s="3031"/>
    </row>
    <row r="142" spans="5:25">
      <c r="E142" s="3047"/>
      <c r="F142" s="1990"/>
      <c r="L142" s="1991"/>
      <c r="Y142" s="3031"/>
    </row>
    <row r="143" spans="5:25">
      <c r="E143" s="803"/>
      <c r="F143" s="1990"/>
      <c r="L143" s="1991"/>
      <c r="Y143" s="3031"/>
    </row>
    <row r="144" spans="5:25">
      <c r="E144" s="803"/>
      <c r="F144" s="1990"/>
      <c r="L144" s="1991"/>
      <c r="Y144" s="3031"/>
    </row>
    <row r="145" spans="5:25">
      <c r="E145" s="803"/>
      <c r="F145" s="1990"/>
      <c r="L145" s="1991"/>
      <c r="Y145" s="3031"/>
    </row>
    <row r="146" spans="5:25">
      <c r="E146" s="3047"/>
      <c r="L146" s="1991"/>
      <c r="Y146" s="3031"/>
    </row>
    <row r="147" spans="5:25">
      <c r="E147" s="803"/>
      <c r="L147" s="1991"/>
      <c r="Y147" s="3031"/>
    </row>
    <row r="148" spans="5:25">
      <c r="E148" s="803"/>
      <c r="L148" s="1991"/>
      <c r="Y148" s="3031"/>
    </row>
    <row r="149" spans="5:25">
      <c r="E149" s="803"/>
      <c r="F149" s="1990"/>
      <c r="L149" s="1991"/>
      <c r="Y149" s="3031"/>
    </row>
    <row r="150" spans="5:25">
      <c r="E150" s="3045"/>
      <c r="F150" s="1990"/>
      <c r="L150" s="1991"/>
      <c r="Y150" s="3031"/>
    </row>
    <row r="151" spans="5:25">
      <c r="E151" s="803"/>
      <c r="F151" s="1990"/>
      <c r="L151" s="1991"/>
      <c r="Y151" s="3031"/>
    </row>
    <row r="152" spans="5:25">
      <c r="E152" s="3045"/>
      <c r="F152" s="1990"/>
      <c r="L152" s="1991"/>
      <c r="Y152" s="3031"/>
    </row>
    <row r="153" spans="5:25">
      <c r="E153" s="803"/>
      <c r="F153" s="1990"/>
      <c r="L153" s="1991"/>
      <c r="Y153" s="3031"/>
    </row>
    <row r="154" spans="5:25">
      <c r="E154" s="3046"/>
      <c r="F154" s="1990"/>
      <c r="L154" s="1991"/>
      <c r="Y154" s="3031"/>
    </row>
    <row r="155" spans="5:25">
      <c r="E155" s="803"/>
      <c r="F155" s="1990"/>
      <c r="L155" s="1991"/>
      <c r="Y155" s="3031"/>
    </row>
    <row r="156" spans="5:25">
      <c r="E156" s="3047"/>
      <c r="F156" s="1990"/>
      <c r="L156" s="1991"/>
      <c r="Y156" s="3031"/>
    </row>
    <row r="157" spans="5:25">
      <c r="E157" s="803"/>
      <c r="F157" s="1990"/>
      <c r="L157" s="1991"/>
      <c r="Y157" s="3031"/>
    </row>
    <row r="158" spans="5:25">
      <c r="E158" s="803"/>
      <c r="F158" s="1990"/>
      <c r="L158" s="1991"/>
      <c r="Y158" s="3031"/>
    </row>
    <row r="159" spans="5:25">
      <c r="E159" s="803"/>
      <c r="F159" s="1990"/>
      <c r="L159" s="1991"/>
      <c r="Y159" s="3031"/>
    </row>
    <row r="160" spans="5:25">
      <c r="E160" s="3047"/>
      <c r="L160" s="1991"/>
      <c r="Y160" s="3031"/>
    </row>
    <row r="161" spans="5:25">
      <c r="E161" s="803"/>
      <c r="L161" s="1991"/>
      <c r="Y161" s="3031"/>
    </row>
    <row r="162" spans="5:25">
      <c r="E162" s="803"/>
      <c r="L162" s="1991"/>
      <c r="Y162" s="3031"/>
    </row>
    <row r="163" spans="5:25">
      <c r="E163" s="803"/>
      <c r="F163" s="1990"/>
      <c r="L163" s="1991"/>
      <c r="Y163" s="3031"/>
    </row>
    <row r="164" spans="5:25">
      <c r="E164" s="3045"/>
      <c r="F164" s="1990"/>
      <c r="L164" s="1991"/>
      <c r="Y164" s="3031"/>
    </row>
    <row r="165" spans="5:25">
      <c r="E165" s="803"/>
      <c r="F165" s="1990"/>
      <c r="L165" s="1991"/>
      <c r="Y165" s="3031"/>
    </row>
    <row r="166" spans="5:25">
      <c r="E166" s="3045"/>
      <c r="F166" s="1990"/>
      <c r="L166" s="1991"/>
      <c r="Y166" s="3031"/>
    </row>
    <row r="167" spans="5:25">
      <c r="E167" s="803"/>
      <c r="F167" s="1990"/>
      <c r="L167" s="1991"/>
      <c r="Y167" s="3031"/>
    </row>
    <row r="168" spans="5:25">
      <c r="E168" s="3046"/>
      <c r="F168" s="1990"/>
      <c r="L168" s="1991"/>
      <c r="Y168" s="3031"/>
    </row>
    <row r="169" spans="5:25">
      <c r="E169" s="803"/>
      <c r="F169" s="1990"/>
      <c r="L169" s="1991"/>
      <c r="Y169" s="3031"/>
    </row>
    <row r="170" spans="5:25">
      <c r="E170" s="3047"/>
      <c r="F170" s="1990"/>
      <c r="L170" s="1991"/>
      <c r="Y170" s="3031"/>
    </row>
    <row r="171" spans="5:25">
      <c r="E171" s="803"/>
      <c r="F171" s="1990"/>
      <c r="L171" s="1991"/>
      <c r="Y171" s="3031"/>
    </row>
    <row r="172" spans="5:25">
      <c r="E172" s="803"/>
      <c r="F172" s="1990"/>
      <c r="L172" s="1991"/>
      <c r="Y172" s="3031"/>
    </row>
    <row r="173" spans="5:25">
      <c r="E173" s="803"/>
      <c r="F173" s="1990"/>
      <c r="L173" s="1991"/>
      <c r="Y173" s="3031"/>
    </row>
    <row r="174" spans="5:25">
      <c r="E174" s="3047"/>
      <c r="L174" s="1991"/>
      <c r="Y174" s="3031"/>
    </row>
    <row r="175" spans="5:25">
      <c r="E175" s="803"/>
      <c r="L175" s="1991"/>
      <c r="Y175" s="3031"/>
    </row>
    <row r="176" spans="5:25">
      <c r="E176" s="803"/>
      <c r="L176" s="1991"/>
      <c r="Y176" s="3031"/>
    </row>
    <row r="177" spans="5:25">
      <c r="E177" s="803"/>
      <c r="F177" s="1990"/>
      <c r="L177" s="1991"/>
      <c r="Y177" s="3031"/>
    </row>
    <row r="178" spans="5:25">
      <c r="E178" s="3045"/>
      <c r="F178" s="1990"/>
      <c r="L178" s="1991"/>
      <c r="Y178" s="3031"/>
    </row>
    <row r="179" spans="5:25">
      <c r="E179" s="803"/>
      <c r="F179" s="1990"/>
      <c r="L179" s="1991"/>
      <c r="Y179" s="3031"/>
    </row>
    <row r="180" spans="5:25">
      <c r="E180" s="3045"/>
      <c r="F180" s="1990"/>
      <c r="L180" s="1991"/>
      <c r="Y180" s="3031"/>
    </row>
    <row r="181" spans="5:25">
      <c r="E181" s="803"/>
      <c r="F181" s="1990"/>
      <c r="L181" s="1991"/>
      <c r="Y181" s="3031"/>
    </row>
    <row r="182" spans="5:25">
      <c r="E182" s="3046"/>
      <c r="F182" s="1990"/>
      <c r="L182" s="1991"/>
      <c r="Y182" s="3031"/>
    </row>
    <row r="183" spans="5:25">
      <c r="E183" s="803"/>
      <c r="F183" s="1990"/>
      <c r="L183" s="1991"/>
      <c r="Y183" s="3031"/>
    </row>
    <row r="184" spans="5:25">
      <c r="E184" s="3047"/>
      <c r="F184" s="1990"/>
      <c r="L184" s="1991"/>
      <c r="Y184" s="3031"/>
    </row>
    <row r="185" spans="5:25">
      <c r="E185" s="803"/>
      <c r="F185" s="1990"/>
      <c r="L185" s="1991"/>
      <c r="Y185" s="3031"/>
    </row>
    <row r="186" spans="5:25">
      <c r="E186" s="803"/>
      <c r="F186" s="1990"/>
      <c r="L186" s="1991"/>
      <c r="Y186" s="3031"/>
    </row>
    <row r="187" spans="5:25">
      <c r="E187" s="803"/>
      <c r="F187" s="1990"/>
      <c r="L187" s="1991"/>
      <c r="Y187" s="3031"/>
    </row>
    <row r="188" spans="5:25">
      <c r="E188" s="3047"/>
      <c r="L188" s="1991"/>
      <c r="Y188" s="3031"/>
    </row>
    <row r="189" spans="5:25">
      <c r="E189" s="803"/>
      <c r="L189" s="1991"/>
      <c r="Y189" s="3031"/>
    </row>
    <row r="190" spans="5:25">
      <c r="E190" s="803"/>
      <c r="L190" s="1991"/>
      <c r="Y190" s="3031"/>
    </row>
    <row r="191" spans="5:25">
      <c r="E191" s="803"/>
      <c r="F191" s="1990"/>
      <c r="L191" s="1991"/>
      <c r="Y191" s="3031"/>
    </row>
    <row r="192" spans="5:25">
      <c r="E192" s="3045"/>
      <c r="F192" s="1990"/>
      <c r="L192" s="1991"/>
      <c r="Y192" s="3031"/>
    </row>
    <row r="193" spans="5:25">
      <c r="E193" s="803"/>
      <c r="F193" s="1990"/>
      <c r="L193" s="1991"/>
      <c r="Y193" s="3031"/>
    </row>
    <row r="194" spans="5:25">
      <c r="E194" s="3045"/>
      <c r="F194" s="1990"/>
      <c r="L194" s="1991"/>
      <c r="Y194" s="3031"/>
    </row>
    <row r="195" spans="5:25">
      <c r="E195" s="803"/>
      <c r="F195" s="1990"/>
      <c r="L195" s="1991"/>
      <c r="Y195" s="3031"/>
    </row>
    <row r="196" spans="5:25">
      <c r="E196" s="3046"/>
      <c r="F196" s="1990"/>
      <c r="L196" s="1991"/>
      <c r="Y196" s="3031"/>
    </row>
    <row r="197" spans="5:25">
      <c r="E197" s="803"/>
      <c r="F197" s="1990"/>
      <c r="L197" s="1991"/>
      <c r="Y197" s="3031"/>
    </row>
    <row r="198" spans="5:25">
      <c r="E198" s="3047"/>
      <c r="F198" s="1990"/>
      <c r="L198" s="1991"/>
      <c r="Y198" s="3031"/>
    </row>
    <row r="199" spans="5:25">
      <c r="E199" s="803"/>
      <c r="F199" s="1990"/>
      <c r="L199" s="1991"/>
      <c r="Y199" s="3031"/>
    </row>
    <row r="200" spans="5:25">
      <c r="E200" s="803"/>
      <c r="F200" s="1990"/>
      <c r="L200" s="1991"/>
      <c r="Y200" s="3031"/>
    </row>
    <row r="201" spans="5:25">
      <c r="E201" s="803"/>
      <c r="F201" s="1990"/>
      <c r="L201" s="1991"/>
      <c r="Y201" s="3031"/>
    </row>
    <row r="202" spans="5:25">
      <c r="E202" s="3047"/>
      <c r="L202" s="1991"/>
      <c r="Y202" s="3031"/>
    </row>
    <row r="203" spans="5:25">
      <c r="E203" s="803"/>
      <c r="L203" s="1991"/>
      <c r="Y203" s="3031"/>
    </row>
    <row r="204" spans="5:25">
      <c r="E204" s="803"/>
      <c r="L204" s="1991"/>
      <c r="Y204" s="3031"/>
    </row>
    <row r="205" spans="5:25">
      <c r="E205" s="803"/>
      <c r="F205" s="1990"/>
      <c r="L205" s="1991"/>
      <c r="Y205" s="3031"/>
    </row>
    <row r="206" spans="5:25">
      <c r="E206" s="3045"/>
      <c r="F206" s="1990"/>
      <c r="L206" s="1991"/>
      <c r="Y206" s="3031"/>
    </row>
    <row r="207" spans="5:25">
      <c r="E207" s="803"/>
      <c r="F207" s="1990"/>
      <c r="L207" s="1991"/>
      <c r="Y207" s="3031"/>
    </row>
    <row r="208" spans="5:25">
      <c r="E208" s="3045"/>
      <c r="F208" s="1990"/>
      <c r="L208" s="1991"/>
      <c r="Y208" s="3031"/>
    </row>
    <row r="209" spans="5:25">
      <c r="E209" s="803"/>
      <c r="F209" s="1990"/>
      <c r="L209" s="1991"/>
      <c r="Y209" s="3031"/>
    </row>
    <row r="210" spans="5:25">
      <c r="E210" s="3046"/>
      <c r="F210" s="1990"/>
      <c r="L210" s="1991"/>
      <c r="Y210" s="3031"/>
    </row>
    <row r="211" spans="5:25">
      <c r="E211" s="803"/>
      <c r="F211" s="1990"/>
      <c r="L211" s="1991"/>
      <c r="Y211" s="3031"/>
    </row>
    <row r="212" spans="5:25">
      <c r="E212" s="3047"/>
      <c r="F212" s="1990"/>
      <c r="L212" s="1991"/>
      <c r="Y212" s="3031"/>
    </row>
    <row r="213" spans="5:25">
      <c r="E213" s="803"/>
      <c r="F213" s="1990"/>
      <c r="L213" s="1991"/>
      <c r="Y213" s="3031"/>
    </row>
    <row r="214" spans="5:25">
      <c r="E214" s="803"/>
      <c r="F214" s="1990"/>
      <c r="L214" s="1991"/>
      <c r="Y214" s="3031"/>
    </row>
    <row r="215" spans="5:25">
      <c r="E215" s="803"/>
      <c r="F215" s="1990"/>
      <c r="L215" s="1991"/>
      <c r="Y215" s="3031"/>
    </row>
    <row r="216" spans="5:25">
      <c r="E216" s="3047"/>
      <c r="L216" s="1991"/>
      <c r="Y216" s="3031"/>
    </row>
    <row r="217" spans="5:25">
      <c r="E217" s="803"/>
      <c r="L217" s="1991"/>
      <c r="Y217" s="3031"/>
    </row>
    <row r="218" spans="5:25">
      <c r="E218" s="803"/>
      <c r="L218" s="1991"/>
      <c r="Y218" s="3031"/>
    </row>
    <row r="219" spans="5:25">
      <c r="E219" s="803"/>
      <c r="F219" s="1990"/>
      <c r="L219" s="1991"/>
      <c r="Y219" s="3031"/>
    </row>
    <row r="424" spans="1:25" ht="12" thickBot="1"/>
    <row r="425" spans="1:25" ht="33.75">
      <c r="A425" s="3048"/>
      <c r="B425" s="2217" t="s">
        <v>85</v>
      </c>
      <c r="C425" s="2217"/>
      <c r="D425" s="3049"/>
      <c r="E425" s="3049"/>
      <c r="F425" s="3049"/>
      <c r="G425" s="3049"/>
      <c r="H425" s="3049"/>
      <c r="I425" s="3049"/>
      <c r="J425" s="3049"/>
      <c r="K425" s="3049"/>
      <c r="L425" s="3050"/>
      <c r="M425" s="3050"/>
      <c r="N425" s="3050"/>
      <c r="O425" s="3050"/>
      <c r="P425" s="3050"/>
      <c r="Q425" s="3050"/>
      <c r="R425" s="3050"/>
      <c r="S425" s="3050"/>
      <c r="T425" s="3050"/>
      <c r="U425" s="3050"/>
      <c r="V425" s="3050"/>
      <c r="W425" s="3050"/>
      <c r="X425" s="3050"/>
      <c r="Y425" s="3051"/>
    </row>
    <row r="426" spans="1:25">
      <c r="A426" s="3052"/>
      <c r="M426" s="2586"/>
      <c r="N426" s="2586"/>
      <c r="O426" s="2586"/>
      <c r="P426" s="2586"/>
      <c r="Q426" s="2586"/>
      <c r="R426" s="2586"/>
      <c r="S426" s="2586"/>
      <c r="T426" s="2586"/>
      <c r="U426" s="2586"/>
      <c r="V426" s="2586"/>
      <c r="W426" s="2586"/>
      <c r="X426" s="2586"/>
      <c r="Y426" s="3053"/>
    </row>
    <row r="427" spans="1:25">
      <c r="A427" s="3052"/>
      <c r="M427" s="2586"/>
      <c r="N427" s="2586"/>
      <c r="O427" s="2586"/>
      <c r="P427" s="2586"/>
      <c r="Q427" s="2586"/>
      <c r="R427" s="2586"/>
      <c r="S427" s="2586"/>
      <c r="T427" s="2586"/>
      <c r="U427" s="2586"/>
      <c r="V427" s="2586"/>
      <c r="W427" s="2586"/>
      <c r="X427" s="2586"/>
      <c r="Y427" s="3053"/>
    </row>
    <row r="428" spans="1:25">
      <c r="A428" s="3052"/>
      <c r="M428" s="2586"/>
      <c r="N428" s="2586"/>
      <c r="O428" s="2586"/>
      <c r="P428" s="2586"/>
      <c r="Q428" s="2586"/>
      <c r="R428" s="2586"/>
      <c r="S428" s="2586"/>
      <c r="T428" s="2586"/>
      <c r="U428" s="2586"/>
      <c r="V428" s="2586"/>
      <c r="W428" s="2586"/>
      <c r="X428" s="2586"/>
      <c r="Y428" s="3053"/>
    </row>
    <row r="429" spans="1:25">
      <c r="A429" s="3052"/>
      <c r="M429" s="2586"/>
      <c r="N429" s="2586"/>
      <c r="O429" s="2586"/>
      <c r="P429" s="2586"/>
      <c r="Q429" s="2586"/>
      <c r="R429" s="2586"/>
      <c r="S429" s="2586"/>
      <c r="T429" s="2586"/>
      <c r="U429" s="2586"/>
      <c r="V429" s="2586"/>
      <c r="W429" s="2586"/>
      <c r="X429" s="2586"/>
      <c r="Y429" s="3053"/>
    </row>
    <row r="430" spans="1:25">
      <c r="A430" s="3052"/>
      <c r="M430" s="2586"/>
      <c r="N430" s="2586"/>
      <c r="O430" s="2586"/>
      <c r="P430" s="2586"/>
      <c r="Q430" s="2586"/>
      <c r="R430" s="2586"/>
      <c r="S430" s="2586"/>
      <c r="T430" s="2586"/>
      <c r="U430" s="2586"/>
      <c r="V430" s="2586"/>
      <c r="W430" s="2586"/>
      <c r="X430" s="2586"/>
      <c r="Y430" s="3053"/>
    </row>
    <row r="431" spans="1:25">
      <c r="A431" s="3052"/>
      <c r="M431" s="2586"/>
      <c r="N431" s="2586"/>
      <c r="O431" s="2586"/>
      <c r="P431" s="2586"/>
      <c r="Q431" s="2586"/>
      <c r="R431" s="2586"/>
      <c r="S431" s="2586"/>
      <c r="T431" s="2586"/>
      <c r="U431" s="2586"/>
      <c r="V431" s="2586"/>
      <c r="W431" s="2586"/>
      <c r="X431" s="2586"/>
      <c r="Y431" s="3053"/>
    </row>
    <row r="432" spans="1:25">
      <c r="A432" s="3052"/>
      <c r="M432" s="2586"/>
      <c r="N432" s="2586"/>
      <c r="O432" s="2586"/>
      <c r="P432" s="2586"/>
      <c r="Q432" s="2586"/>
      <c r="R432" s="2586"/>
      <c r="S432" s="2586"/>
      <c r="T432" s="2586"/>
      <c r="U432" s="2586"/>
      <c r="V432" s="2586"/>
      <c r="W432" s="2586"/>
      <c r="X432" s="2586"/>
      <c r="Y432" s="3053"/>
    </row>
    <row r="433" spans="1:25">
      <c r="A433" s="3052"/>
      <c r="M433" s="2586"/>
      <c r="N433" s="2586"/>
      <c r="O433" s="2586"/>
      <c r="P433" s="2586"/>
      <c r="Q433" s="2586"/>
      <c r="R433" s="2586"/>
      <c r="S433" s="2586"/>
      <c r="T433" s="2586"/>
      <c r="U433" s="2586"/>
      <c r="V433" s="2586"/>
      <c r="W433" s="2586"/>
      <c r="X433" s="2586"/>
      <c r="Y433" s="3053"/>
    </row>
    <row r="434" spans="1:25">
      <c r="A434" s="3052"/>
      <c r="M434" s="2586"/>
      <c r="N434" s="2586"/>
      <c r="O434" s="2586"/>
      <c r="P434" s="2586"/>
      <c r="Q434" s="2586"/>
      <c r="R434" s="2586"/>
      <c r="S434" s="2586"/>
      <c r="T434" s="2586"/>
      <c r="U434" s="2586"/>
      <c r="V434" s="2586"/>
      <c r="W434" s="2586"/>
      <c r="X434" s="2586"/>
      <c r="Y434" s="3053"/>
    </row>
    <row r="435" spans="1:25">
      <c r="A435" s="3052"/>
      <c r="M435" s="2586"/>
      <c r="N435" s="2586"/>
      <c r="O435" s="2586"/>
      <c r="P435" s="2586"/>
      <c r="Q435" s="2586"/>
      <c r="R435" s="2586"/>
      <c r="S435" s="2586"/>
      <c r="T435" s="2586"/>
      <c r="U435" s="2586"/>
      <c r="V435" s="2586"/>
      <c r="W435" s="2586"/>
      <c r="X435" s="2586"/>
      <c r="Y435" s="3053"/>
    </row>
    <row r="436" spans="1:25" ht="12" thickBot="1">
      <c r="A436" s="3054"/>
      <c r="B436" s="3055"/>
      <c r="C436" s="3055"/>
      <c r="D436" s="3055"/>
      <c r="E436" s="3055"/>
      <c r="F436" s="3055"/>
      <c r="G436" s="3055"/>
      <c r="H436" s="3055"/>
      <c r="I436" s="3055"/>
      <c r="J436" s="3055"/>
      <c r="K436" s="3055"/>
      <c r="L436" s="3056"/>
      <c r="M436" s="3056"/>
      <c r="N436" s="3056"/>
      <c r="O436" s="3056"/>
      <c r="P436" s="3056"/>
      <c r="Q436" s="3056"/>
      <c r="R436" s="3056"/>
      <c r="S436" s="3056"/>
      <c r="T436" s="3056"/>
      <c r="U436" s="3056"/>
      <c r="V436" s="3056"/>
      <c r="W436" s="3056"/>
      <c r="X436" s="3056"/>
      <c r="Y436" s="3057"/>
    </row>
  </sheetData>
  <mergeCells count="51">
    <mergeCell ref="B4:B6"/>
    <mergeCell ref="C4:C6"/>
    <mergeCell ref="D4:D6"/>
    <mergeCell ref="Y4:Y6"/>
    <mergeCell ref="Y11:Y21"/>
    <mergeCell ref="C12:C16"/>
    <mergeCell ref="C18:C21"/>
    <mergeCell ref="X4:X6"/>
    <mergeCell ref="X17:X21"/>
    <mergeCell ref="M4:M5"/>
    <mergeCell ref="O4:O5"/>
    <mergeCell ref="P4:W5"/>
    <mergeCell ref="A22:A25"/>
    <mergeCell ref="Y22:Y30"/>
    <mergeCell ref="C24:C27"/>
    <mergeCell ref="C29:C30"/>
    <mergeCell ref="A31:A42"/>
    <mergeCell ref="Y31:Y42"/>
    <mergeCell ref="C33:C34"/>
    <mergeCell ref="C36:C37"/>
    <mergeCell ref="C39:C40"/>
    <mergeCell ref="C41:C42"/>
    <mergeCell ref="X38:X42"/>
    <mergeCell ref="A43:A54"/>
    <mergeCell ref="Y43:Y54"/>
    <mergeCell ref="C45:C46"/>
    <mergeCell ref="C47:C49"/>
    <mergeCell ref="C51:C52"/>
    <mergeCell ref="C53:C54"/>
    <mergeCell ref="X50:X54"/>
    <mergeCell ref="A55:A66"/>
    <mergeCell ref="Y55:Y66"/>
    <mergeCell ref="C57:C58"/>
    <mergeCell ref="C60:C61"/>
    <mergeCell ref="C63:C64"/>
    <mergeCell ref="C65:C66"/>
    <mergeCell ref="X62:X66"/>
    <mergeCell ref="A67:A78"/>
    <mergeCell ref="Y67:Y78"/>
    <mergeCell ref="C69:C70"/>
    <mergeCell ref="C72:C73"/>
    <mergeCell ref="C75:C76"/>
    <mergeCell ref="C77:C78"/>
    <mergeCell ref="X74:X78"/>
    <mergeCell ref="A79:A90"/>
    <mergeCell ref="Y79:Y90"/>
    <mergeCell ref="C81:C83"/>
    <mergeCell ref="C84:C85"/>
    <mergeCell ref="C87:C88"/>
    <mergeCell ref="C89:C90"/>
    <mergeCell ref="X86:X90"/>
  </mergeCells>
  <printOptions horizontalCentered="1"/>
  <pageMargins left="0.15748031496062992" right="0.15748031496062992" top="0.47244094488188981" bottom="0.39370078740157483" header="0.15748031496062992" footer="0.15748031496062992"/>
  <pageSetup paperSize="9" scale="70" firstPageNumber="51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______________________________________________________________________________________________________________________________________</oddHeader>
    <oddFooter>&amp;C&amp;8&amp;P</oddFooter>
  </headerFooter>
  <rowBreaks count="1" manualBreakCount="1">
    <brk id="92" max="1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BX256"/>
  <sheetViews>
    <sheetView showGridLines="0" view="pageBreakPreview" zoomScaleNormal="100" zoomScaleSheetLayoutView="100" workbookViewId="0">
      <pane xSplit="3" ySplit="8" topLeftCell="D111" activePane="bottomRight" state="frozen"/>
      <selection pane="topRight" activeCell="D1" sqref="D1"/>
      <selection pane="bottomLeft" activeCell="A9" sqref="A9"/>
      <selection pane="bottomRight" activeCell="V130" sqref="V130"/>
    </sheetView>
  </sheetViews>
  <sheetFormatPr defaultColWidth="9.140625" defaultRowHeight="12" outlineLevelRow="1"/>
  <cols>
    <col min="1" max="1" width="3.7109375" style="2464" customWidth="1"/>
    <col min="2" max="2" width="56.140625" style="1991" customWidth="1"/>
    <col min="3" max="3" width="9.7109375" style="1991" customWidth="1"/>
    <col min="4" max="4" width="12.85546875" style="1991" customWidth="1"/>
    <col min="5" max="5" width="12" style="1991" hidden="1" customWidth="1"/>
    <col min="6" max="6" width="11.7109375" style="1991" hidden="1" customWidth="1"/>
    <col min="7" max="7" width="10.140625" style="1991" hidden="1" customWidth="1"/>
    <col min="8" max="8" width="12.28515625" style="1991" hidden="1" customWidth="1"/>
    <col min="9" max="10" width="10.140625" style="1991" hidden="1" customWidth="1"/>
    <col min="11" max="11" width="12.5703125" style="1991" hidden="1" customWidth="1"/>
    <col min="12" max="12" width="12.7109375" style="1991" hidden="1" customWidth="1"/>
    <col min="13" max="13" width="12.5703125" style="1991" customWidth="1"/>
    <col min="14" max="14" width="10" style="2586" hidden="1" customWidth="1"/>
    <col min="15" max="15" width="10.140625" style="1991" customWidth="1"/>
    <col min="16" max="16" width="10.42578125" style="1991" customWidth="1"/>
    <col min="17" max="17" width="9.42578125" style="1991" bestFit="1" customWidth="1"/>
    <col min="18" max="20" width="9.42578125" style="1991" customWidth="1"/>
    <col min="21" max="21" width="9.5703125" style="1991" customWidth="1"/>
    <col min="22" max="22" width="8" style="1991" customWidth="1"/>
    <col min="23" max="23" width="7.85546875" style="1991" customWidth="1"/>
    <col min="24" max="24" width="11.7109375" style="1991" customWidth="1"/>
    <col min="25" max="25" width="15.7109375" style="2585" customWidth="1"/>
    <col min="26" max="26" width="15.140625" style="1991" customWidth="1"/>
    <col min="27" max="27" width="11.7109375" style="1991" bestFit="1" customWidth="1"/>
    <col min="28" max="16384" width="9.140625" style="1991"/>
  </cols>
  <sheetData>
    <row r="1" spans="1:76" ht="16.5" customHeight="1">
      <c r="F1" s="2465" t="e">
        <f>+#REF!-#REF!</f>
        <v>#REF!</v>
      </c>
      <c r="N1" s="1991"/>
      <c r="P1" s="4610"/>
      <c r="Q1" s="4610"/>
      <c r="R1" s="4610"/>
      <c r="S1" s="1985" t="s">
        <v>372</v>
      </c>
      <c r="T1" s="1979"/>
      <c r="U1" s="1979"/>
      <c r="V1" s="1979"/>
      <c r="W1" s="1979"/>
      <c r="X1" s="331"/>
      <c r="Y1" s="332"/>
    </row>
    <row r="2" spans="1:76" ht="7.5" customHeight="1">
      <c r="F2" s="2465"/>
      <c r="N2" s="1986"/>
      <c r="O2" s="1984"/>
      <c r="P2" s="1984"/>
      <c r="Q2" s="1984"/>
      <c r="R2" s="1984"/>
      <c r="S2" s="1984"/>
      <c r="T2" s="1984"/>
      <c r="U2" s="1984"/>
      <c r="V2" s="1984"/>
      <c r="W2" s="1984"/>
      <c r="X2" s="331"/>
      <c r="Y2" s="332"/>
    </row>
    <row r="3" spans="1:76" ht="5.25" customHeight="1">
      <c r="D3" s="2465"/>
      <c r="F3" s="2465"/>
      <c r="N3" s="1986"/>
      <c r="O3" s="1986"/>
      <c r="P3" s="1986"/>
      <c r="Q3" s="1986"/>
      <c r="R3" s="1986"/>
      <c r="S3" s="1986"/>
      <c r="T3" s="1986"/>
      <c r="U3" s="1986"/>
      <c r="V3" s="1986"/>
      <c r="W3" s="1986"/>
      <c r="X3" s="331"/>
      <c r="Y3" s="332"/>
    </row>
    <row r="4" spans="1:76" s="2467" customFormat="1" ht="40.5" customHeight="1">
      <c r="A4" s="4611" t="s">
        <v>414</v>
      </c>
      <c r="B4" s="4611"/>
      <c r="C4" s="4611"/>
      <c r="D4" s="4611"/>
      <c r="E4" s="4611"/>
      <c r="F4" s="4611"/>
      <c r="G4" s="4611"/>
      <c r="H4" s="4611"/>
      <c r="I4" s="4611"/>
      <c r="J4" s="4611"/>
      <c r="K4" s="4611"/>
      <c r="L4" s="4611"/>
      <c r="M4" s="4611"/>
      <c r="N4" s="4611"/>
      <c r="O4" s="4611"/>
      <c r="P4" s="4611"/>
      <c r="Q4" s="4611"/>
      <c r="R4" s="4611"/>
      <c r="S4" s="4611"/>
      <c r="T4" s="4611"/>
      <c r="U4" s="4611"/>
      <c r="V4" s="4611"/>
      <c r="W4" s="4611"/>
      <c r="X4" s="4611"/>
      <c r="Y4" s="4611"/>
      <c r="Z4" s="2466"/>
      <c r="AA4" s="2466"/>
      <c r="AB4" s="2466"/>
      <c r="AC4" s="2466"/>
      <c r="AD4" s="2466"/>
      <c r="AE4" s="2466"/>
      <c r="AF4" s="2466"/>
      <c r="AG4" s="2466"/>
      <c r="AH4" s="2466"/>
      <c r="AI4" s="2466"/>
      <c r="AJ4" s="2466"/>
      <c r="AK4" s="2466"/>
      <c r="AL4" s="2466"/>
      <c r="AM4" s="2466"/>
      <c r="AN4" s="2466"/>
      <c r="AO4" s="2466"/>
      <c r="AP4" s="2466"/>
      <c r="AQ4" s="2466"/>
      <c r="AR4" s="2466"/>
      <c r="AS4" s="2466"/>
      <c r="AT4" s="2466"/>
      <c r="AU4" s="2466"/>
      <c r="AV4" s="1990"/>
      <c r="AW4" s="1990"/>
      <c r="AX4" s="1990"/>
      <c r="AY4" s="1990"/>
      <c r="AZ4" s="1990"/>
      <c r="BA4" s="1990"/>
      <c r="BB4" s="1990"/>
      <c r="BC4" s="1990"/>
      <c r="BD4" s="1990"/>
      <c r="BE4" s="1990"/>
      <c r="BF4" s="1990"/>
      <c r="BG4" s="1990"/>
      <c r="BH4" s="1990"/>
      <c r="BI4" s="1990"/>
      <c r="BJ4" s="1990"/>
      <c r="BK4" s="1990"/>
      <c r="BL4" s="1990"/>
      <c r="BM4" s="1990"/>
      <c r="BN4" s="1990"/>
      <c r="BO4" s="1990"/>
      <c r="BP4" s="1990"/>
      <c r="BQ4" s="1990"/>
      <c r="BR4" s="1990"/>
      <c r="BS4" s="1990"/>
      <c r="BT4" s="1990"/>
      <c r="BU4" s="1990"/>
      <c r="BV4" s="1990"/>
      <c r="BW4" s="1990"/>
      <c r="BX4" s="1990"/>
    </row>
    <row r="5" spans="1:76" ht="33.75" customHeight="1">
      <c r="A5" s="2693"/>
      <c r="B5" s="4612" t="s">
        <v>91</v>
      </c>
      <c r="C5" s="4614" t="s">
        <v>87</v>
      </c>
      <c r="D5" s="4617" t="s">
        <v>88</v>
      </c>
      <c r="E5" s="4623" t="s">
        <v>3</v>
      </c>
      <c r="F5" s="4624"/>
      <c r="G5" s="4624"/>
      <c r="H5" s="4624"/>
      <c r="I5" s="4624"/>
      <c r="J5" s="4624"/>
      <c r="K5" s="4624"/>
      <c r="L5" s="2694"/>
      <c r="M5" s="4627" t="s">
        <v>522</v>
      </c>
      <c r="N5" s="2695"/>
      <c r="O5" s="4629" t="s">
        <v>551</v>
      </c>
      <c r="P5" s="4631" t="s">
        <v>540</v>
      </c>
      <c r="Q5" s="4632"/>
      <c r="R5" s="4632"/>
      <c r="S5" s="4632"/>
      <c r="T5" s="4632"/>
      <c r="U5" s="4632"/>
      <c r="V5" s="4632"/>
      <c r="W5" s="4633"/>
      <c r="X5" s="4625" t="s">
        <v>494</v>
      </c>
      <c r="Y5" s="4620" t="s">
        <v>89</v>
      </c>
      <c r="Z5" s="1990"/>
      <c r="AA5" s="1990"/>
      <c r="AB5" s="1990"/>
      <c r="AC5" s="1990"/>
      <c r="AD5" s="1990"/>
      <c r="AE5" s="1990"/>
      <c r="AF5" s="1990"/>
      <c r="AG5" s="1990"/>
      <c r="AH5" s="1990"/>
      <c r="AI5" s="1990"/>
      <c r="AJ5" s="1990"/>
      <c r="AK5" s="1990"/>
      <c r="AL5" s="1990"/>
      <c r="AM5" s="1990"/>
      <c r="AN5" s="1990"/>
      <c r="AO5" s="1990"/>
      <c r="AP5" s="1990"/>
      <c r="AQ5" s="1990"/>
      <c r="AR5" s="1990"/>
      <c r="AS5" s="1990"/>
      <c r="AT5" s="1990"/>
      <c r="AU5" s="1990"/>
      <c r="AV5" s="1990"/>
      <c r="AW5" s="1990"/>
      <c r="AX5" s="1990"/>
      <c r="AY5" s="1990"/>
      <c r="AZ5" s="1990"/>
      <c r="BA5" s="1990"/>
      <c r="BB5" s="1990"/>
      <c r="BC5" s="1990"/>
      <c r="BD5" s="1990"/>
      <c r="BE5" s="1990"/>
      <c r="BF5" s="1990"/>
      <c r="BG5" s="1990"/>
      <c r="BH5" s="1990"/>
      <c r="BI5" s="1990"/>
      <c r="BJ5" s="1990"/>
      <c r="BK5" s="1990"/>
      <c r="BL5" s="1990"/>
      <c r="BM5" s="1990"/>
      <c r="BN5" s="1990"/>
      <c r="BO5" s="1990"/>
      <c r="BP5" s="1990"/>
      <c r="BQ5" s="1990"/>
      <c r="BR5" s="1990"/>
      <c r="BS5" s="1990"/>
      <c r="BT5" s="1990"/>
      <c r="BU5" s="1990"/>
      <c r="BV5" s="1990"/>
      <c r="BW5" s="1990"/>
      <c r="BX5" s="1990"/>
    </row>
    <row r="6" spans="1:76" ht="22.5" customHeight="1">
      <c r="A6" s="2696" t="s">
        <v>90</v>
      </c>
      <c r="B6" s="4394"/>
      <c r="C6" s="4615"/>
      <c r="D6" s="4618"/>
      <c r="E6" s="2470"/>
      <c r="F6" s="2469"/>
      <c r="G6" s="2469"/>
      <c r="H6" s="2469"/>
      <c r="I6" s="2469"/>
      <c r="J6" s="2469"/>
      <c r="K6" s="2469"/>
      <c r="L6" s="2468"/>
      <c r="M6" s="4628"/>
      <c r="N6" s="2469"/>
      <c r="O6" s="4630"/>
      <c r="P6" s="4202"/>
      <c r="Q6" s="4203"/>
      <c r="R6" s="4203"/>
      <c r="S6" s="4203"/>
      <c r="T6" s="4203"/>
      <c r="U6" s="4203"/>
      <c r="V6" s="4203"/>
      <c r="W6" s="4204"/>
      <c r="X6" s="4549"/>
      <c r="Y6" s="4621"/>
      <c r="Z6" s="1990"/>
      <c r="AA6" s="1990"/>
      <c r="AB6" s="1990"/>
      <c r="AC6" s="1990"/>
      <c r="AD6" s="1990"/>
      <c r="AE6" s="1990"/>
      <c r="AF6" s="1990"/>
      <c r="AG6" s="1990"/>
      <c r="AH6" s="1990"/>
      <c r="AI6" s="1990"/>
      <c r="AJ6" s="1990"/>
      <c r="AK6" s="1990"/>
      <c r="AL6" s="1990"/>
      <c r="AM6" s="1990"/>
      <c r="AN6" s="1990"/>
      <c r="AO6" s="1990"/>
      <c r="AP6" s="1990"/>
      <c r="AQ6" s="1990"/>
      <c r="AR6" s="1990"/>
      <c r="AS6" s="1990"/>
      <c r="AT6" s="1990"/>
      <c r="AU6" s="1990"/>
      <c r="AV6" s="1990"/>
      <c r="AW6" s="1990"/>
      <c r="AX6" s="1990"/>
      <c r="AY6" s="1990"/>
      <c r="AZ6" s="1990"/>
      <c r="BA6" s="1990"/>
      <c r="BB6" s="1990"/>
      <c r="BC6" s="1990"/>
      <c r="BD6" s="1990"/>
      <c r="BE6" s="1990"/>
      <c r="BF6" s="1990"/>
      <c r="BG6" s="1990"/>
      <c r="BH6" s="1990"/>
      <c r="BI6" s="1990"/>
      <c r="BJ6" s="1990"/>
      <c r="BK6" s="1990"/>
      <c r="BL6" s="1990"/>
      <c r="BM6" s="1990"/>
      <c r="BN6" s="1990"/>
      <c r="BO6" s="1990"/>
      <c r="BP6" s="1990"/>
      <c r="BQ6" s="1990"/>
      <c r="BR6" s="1990"/>
      <c r="BS6" s="1990"/>
      <c r="BT6" s="1990"/>
      <c r="BU6" s="1990"/>
      <c r="BV6" s="1990"/>
      <c r="BW6" s="1990"/>
      <c r="BX6" s="1990"/>
    </row>
    <row r="7" spans="1:76" ht="33.75" customHeight="1">
      <c r="A7" s="2721"/>
      <c r="B7" s="4613"/>
      <c r="C7" s="4616"/>
      <c r="D7" s="4619"/>
      <c r="E7" s="2722" t="s">
        <v>6</v>
      </c>
      <c r="F7" s="2723" t="s">
        <v>7</v>
      </c>
      <c r="G7" s="2723" t="s">
        <v>8</v>
      </c>
      <c r="H7" s="2723" t="s">
        <v>9</v>
      </c>
      <c r="I7" s="2724" t="s">
        <v>10</v>
      </c>
      <c r="J7" s="2724" t="s">
        <v>11</v>
      </c>
      <c r="K7" s="2724" t="s">
        <v>12</v>
      </c>
      <c r="L7" s="2724" t="s">
        <v>13</v>
      </c>
      <c r="M7" s="2725" t="s">
        <v>489</v>
      </c>
      <c r="N7" s="2724" t="s">
        <v>14</v>
      </c>
      <c r="O7" s="2724" t="s">
        <v>15</v>
      </c>
      <c r="P7" s="2724" t="s">
        <v>16</v>
      </c>
      <c r="Q7" s="2724" t="s">
        <v>17</v>
      </c>
      <c r="R7" s="2724" t="s">
        <v>18</v>
      </c>
      <c r="S7" s="2724" t="s">
        <v>376</v>
      </c>
      <c r="T7" s="2724" t="s">
        <v>381</v>
      </c>
      <c r="U7" s="2724" t="s">
        <v>491</v>
      </c>
      <c r="V7" s="2724" t="s">
        <v>492</v>
      </c>
      <c r="W7" s="2724" t="s">
        <v>490</v>
      </c>
      <c r="X7" s="4626"/>
      <c r="Y7" s="4622"/>
      <c r="Z7" s="1990"/>
      <c r="AA7" s="1990"/>
      <c r="AB7" s="1990"/>
      <c r="AC7" s="1990"/>
      <c r="AD7" s="1990"/>
      <c r="AE7" s="1990"/>
      <c r="AF7" s="1990"/>
      <c r="AG7" s="1990"/>
      <c r="AH7" s="1990"/>
      <c r="AI7" s="1990"/>
      <c r="AJ7" s="1990"/>
      <c r="AK7" s="1990"/>
      <c r="AL7" s="1990"/>
      <c r="AM7" s="1990"/>
      <c r="AN7" s="1990"/>
      <c r="AO7" s="1990"/>
      <c r="AP7" s="1990"/>
      <c r="AQ7" s="1990"/>
      <c r="AR7" s="1990"/>
      <c r="AS7" s="1990"/>
      <c r="AT7" s="1990"/>
      <c r="AU7" s="1990"/>
      <c r="AV7" s="1990"/>
      <c r="AW7" s="1990"/>
      <c r="AX7" s="1990"/>
      <c r="AY7" s="1990"/>
      <c r="AZ7" s="1990"/>
      <c r="BA7" s="1990"/>
      <c r="BB7" s="1990"/>
      <c r="BC7" s="1990"/>
      <c r="BD7" s="1990"/>
      <c r="BE7" s="1990"/>
      <c r="BF7" s="1990"/>
      <c r="BG7" s="1990"/>
      <c r="BH7" s="1990"/>
      <c r="BI7" s="1990"/>
      <c r="BJ7" s="1990"/>
      <c r="BK7" s="1990"/>
      <c r="BL7" s="1990"/>
      <c r="BM7" s="1990"/>
      <c r="BN7" s="1990"/>
      <c r="BO7" s="1990"/>
      <c r="BP7" s="1990"/>
      <c r="BQ7" s="1990"/>
      <c r="BR7" s="1990"/>
      <c r="BS7" s="1990"/>
      <c r="BT7" s="1990"/>
      <c r="BU7" s="1990"/>
      <c r="BV7" s="1990"/>
      <c r="BW7" s="1990"/>
      <c r="BX7" s="1990"/>
    </row>
    <row r="8" spans="1:76" ht="14.25" customHeight="1">
      <c r="A8" s="2697">
        <v>1</v>
      </c>
      <c r="B8" s="2471">
        <v>2</v>
      </c>
      <c r="C8" s="2472">
        <v>3</v>
      </c>
      <c r="D8" s="2472">
        <v>4</v>
      </c>
      <c r="E8" s="2473"/>
      <c r="F8" s="2473"/>
      <c r="G8" s="2473"/>
      <c r="H8" s="2473"/>
      <c r="I8" s="2474"/>
      <c r="J8" s="2474"/>
      <c r="K8" s="2474"/>
      <c r="L8" s="2474"/>
      <c r="M8" s="2474">
        <v>5</v>
      </c>
      <c r="N8" s="2474" t="s">
        <v>493</v>
      </c>
      <c r="O8" s="2474">
        <v>6</v>
      </c>
      <c r="P8" s="2474">
        <v>7</v>
      </c>
      <c r="Q8" s="2474">
        <v>8</v>
      </c>
      <c r="R8" s="2474">
        <v>9</v>
      </c>
      <c r="S8" s="2474">
        <v>10</v>
      </c>
      <c r="T8" s="2474">
        <v>11</v>
      </c>
      <c r="U8" s="2474">
        <v>12</v>
      </c>
      <c r="V8" s="2474">
        <v>13</v>
      </c>
      <c r="W8" s="2474">
        <v>14</v>
      </c>
      <c r="X8" s="2475">
        <v>15</v>
      </c>
      <c r="Y8" s="2474">
        <v>16</v>
      </c>
      <c r="Z8" s="1990"/>
      <c r="AA8" s="1990"/>
      <c r="AB8" s="1990"/>
      <c r="AC8" s="1990"/>
      <c r="AD8" s="1990"/>
      <c r="AE8" s="1990"/>
      <c r="AF8" s="1990"/>
      <c r="AG8" s="1990"/>
      <c r="AH8" s="1990"/>
      <c r="AI8" s="1990"/>
      <c r="AJ8" s="1990"/>
      <c r="AK8" s="1990"/>
      <c r="AL8" s="1990"/>
      <c r="AM8" s="1990"/>
      <c r="AN8" s="1990"/>
      <c r="AO8" s="1990"/>
      <c r="AP8" s="1990"/>
      <c r="AQ8" s="1990"/>
      <c r="AR8" s="1990"/>
      <c r="AS8" s="1990"/>
      <c r="AT8" s="1990"/>
      <c r="AU8" s="1990"/>
      <c r="AV8" s="1990"/>
      <c r="AW8" s="1990"/>
      <c r="AX8" s="1990"/>
      <c r="AY8" s="1990"/>
      <c r="AZ8" s="1990"/>
      <c r="BA8" s="1990"/>
      <c r="BB8" s="1990"/>
      <c r="BC8" s="1990"/>
      <c r="BD8" s="1990"/>
      <c r="BE8" s="1990"/>
      <c r="BF8" s="1990"/>
      <c r="BG8" s="1990"/>
      <c r="BH8" s="1990"/>
      <c r="BI8" s="1990"/>
      <c r="BJ8" s="1990"/>
      <c r="BK8" s="1990"/>
      <c r="BL8" s="1990"/>
      <c r="BM8" s="1990"/>
      <c r="BN8" s="1990"/>
      <c r="BO8" s="1990"/>
      <c r="BP8" s="1990"/>
      <c r="BQ8" s="1990"/>
      <c r="BR8" s="1990"/>
      <c r="BS8" s="1990"/>
      <c r="BT8" s="1990"/>
      <c r="BU8" s="1990"/>
      <c r="BV8" s="1990"/>
      <c r="BW8" s="1990"/>
      <c r="BX8" s="1990"/>
    </row>
    <row r="9" spans="1:76" s="2463" customFormat="1" ht="16.5" customHeight="1">
      <c r="A9" s="2698"/>
      <c r="B9" s="993" t="s">
        <v>92</v>
      </c>
      <c r="C9" s="994"/>
      <c r="D9" s="995">
        <f>+D10+D11</f>
        <v>246619611</v>
      </c>
      <c r="E9" s="995">
        <f t="shared" ref="E9:R9" si="0">+E10+E11</f>
        <v>21033125</v>
      </c>
      <c r="F9" s="995">
        <f t="shared" si="0"/>
        <v>285042</v>
      </c>
      <c r="G9" s="995">
        <f t="shared" si="0"/>
        <v>2189094</v>
      </c>
      <c r="H9" s="995">
        <f t="shared" si="0"/>
        <v>21735489</v>
      </c>
      <c r="I9" s="995">
        <f>+I10+I11</f>
        <v>29427464</v>
      </c>
      <c r="J9" s="995">
        <f t="shared" si="0"/>
        <v>36663652</v>
      </c>
      <c r="K9" s="995">
        <f>+K10+K11</f>
        <v>42166378</v>
      </c>
      <c r="L9" s="995">
        <f t="shared" si="0"/>
        <v>34144149</v>
      </c>
      <c r="M9" s="995">
        <f t="shared" ref="M9" si="1">+M10+M11</f>
        <v>196311150</v>
      </c>
      <c r="N9" s="995">
        <f t="shared" si="0"/>
        <v>32876382</v>
      </c>
      <c r="O9" s="995">
        <f t="shared" si="0"/>
        <v>20794987</v>
      </c>
      <c r="P9" s="995">
        <f t="shared" si="0"/>
        <v>17266868</v>
      </c>
      <c r="Q9" s="995">
        <f t="shared" si="0"/>
        <v>7246606</v>
      </c>
      <c r="R9" s="995">
        <f t="shared" si="0"/>
        <v>2500000</v>
      </c>
      <c r="S9" s="995">
        <f t="shared" ref="S9" si="2">+S10+S11</f>
        <v>2500000</v>
      </c>
      <c r="T9" s="995">
        <f>+T10+T11</f>
        <v>0</v>
      </c>
      <c r="U9" s="995">
        <f t="shared" ref="U9:V9" si="3">+U10+U11</f>
        <v>0</v>
      </c>
      <c r="V9" s="995">
        <f t="shared" si="3"/>
        <v>0</v>
      </c>
      <c r="W9" s="995">
        <f t="shared" ref="W9" si="4">+W10+W11</f>
        <v>0</v>
      </c>
      <c r="X9" s="354">
        <f>+X10+X11</f>
        <v>29513474</v>
      </c>
      <c r="Y9" s="2699"/>
      <c r="Z9" s="2004">
        <f>P9+Q9+R9+S9+T9+U9+V9+W9</f>
        <v>29513474</v>
      </c>
    </row>
    <row r="10" spans="1:76" s="2463" customFormat="1" ht="13.5" customHeight="1">
      <c r="A10" s="2700"/>
      <c r="B10" s="993" t="s">
        <v>93</v>
      </c>
      <c r="C10" s="994"/>
      <c r="D10" s="995">
        <f>+D35+D106+D133+D140</f>
        <v>59146968</v>
      </c>
      <c r="E10" s="995">
        <f>+E35+E106+E133+E140</f>
        <v>6571835</v>
      </c>
      <c r="F10" s="995">
        <f>+F35+F106+F133+F140</f>
        <v>229394</v>
      </c>
      <c r="G10" s="995">
        <f>+G35+G106+G133+G140</f>
        <v>1937989</v>
      </c>
      <c r="H10" s="995">
        <f>+H35+H106+H133+H140</f>
        <v>4623482</v>
      </c>
      <c r="I10" s="995">
        <f t="shared" ref="I10:R10" si="5">+I35+I106+I133+I140</f>
        <v>5082065</v>
      </c>
      <c r="J10" s="995">
        <f t="shared" si="5"/>
        <v>5805416</v>
      </c>
      <c r="K10" s="995">
        <f t="shared" si="5"/>
        <v>6479046</v>
      </c>
      <c r="L10" s="995">
        <f t="shared" si="5"/>
        <v>7915535</v>
      </c>
      <c r="M10" s="995">
        <f t="shared" ref="M10" si="6">+M35+M106+M133+M140</f>
        <v>39642183</v>
      </c>
      <c r="N10" s="995">
        <f t="shared" si="5"/>
        <v>7788286</v>
      </c>
      <c r="O10" s="995">
        <f t="shared" si="5"/>
        <v>5941175</v>
      </c>
      <c r="P10" s="995">
        <f t="shared" si="5"/>
        <v>5500000</v>
      </c>
      <c r="Q10" s="995">
        <f t="shared" si="5"/>
        <v>3063610</v>
      </c>
      <c r="R10" s="995">
        <f t="shared" si="5"/>
        <v>2500000</v>
      </c>
      <c r="S10" s="995">
        <f t="shared" ref="S10:T10" si="7">+S35+S106+S133+S140</f>
        <v>2500000</v>
      </c>
      <c r="T10" s="995">
        <f t="shared" si="7"/>
        <v>0</v>
      </c>
      <c r="U10" s="995">
        <f t="shared" ref="U10:V10" si="8">+U35+U106+U133+U140</f>
        <v>0</v>
      </c>
      <c r="V10" s="995">
        <f t="shared" si="8"/>
        <v>0</v>
      </c>
      <c r="W10" s="995">
        <f t="shared" ref="W10" si="9">+W35+W106+W133+W140</f>
        <v>0</v>
      </c>
      <c r="X10" s="354">
        <f>SUM(P10:W10)</f>
        <v>13563610</v>
      </c>
      <c r="Y10" s="2699"/>
      <c r="Z10" s="2004"/>
    </row>
    <row r="11" spans="1:76" s="2463" customFormat="1" ht="13.5" customHeight="1">
      <c r="A11" s="2700"/>
      <c r="B11" s="996" t="s">
        <v>21</v>
      </c>
      <c r="C11" s="997"/>
      <c r="D11" s="998">
        <f t="shared" ref="D11:R11" si="10">D167+D69+D82+D93+D121+D54+D154</f>
        <v>187472643</v>
      </c>
      <c r="E11" s="998">
        <f t="shared" si="10"/>
        <v>14461290</v>
      </c>
      <c r="F11" s="998">
        <f t="shared" si="10"/>
        <v>55648</v>
      </c>
      <c r="G11" s="998">
        <f t="shared" si="10"/>
        <v>251105</v>
      </c>
      <c r="H11" s="998">
        <f t="shared" si="10"/>
        <v>17112007</v>
      </c>
      <c r="I11" s="998">
        <f t="shared" si="10"/>
        <v>24345399</v>
      </c>
      <c r="J11" s="998">
        <f t="shared" si="10"/>
        <v>30858236</v>
      </c>
      <c r="K11" s="998">
        <f t="shared" si="10"/>
        <v>35687332</v>
      </c>
      <c r="L11" s="998">
        <f t="shared" si="10"/>
        <v>26228614</v>
      </c>
      <c r="M11" s="998">
        <f t="shared" ref="M11" si="11">M167+M69+M82+M93+M121+M54+M154</f>
        <v>156668967</v>
      </c>
      <c r="N11" s="998">
        <f t="shared" si="10"/>
        <v>25088096</v>
      </c>
      <c r="O11" s="998">
        <f t="shared" si="10"/>
        <v>14853812</v>
      </c>
      <c r="P11" s="998">
        <f t="shared" si="10"/>
        <v>11766868</v>
      </c>
      <c r="Q11" s="998">
        <f t="shared" si="10"/>
        <v>4182996</v>
      </c>
      <c r="R11" s="998">
        <f t="shared" si="10"/>
        <v>0</v>
      </c>
      <c r="S11" s="998">
        <f t="shared" ref="S11:T11" si="12">S167+S69+S82+S93+S121+S54+S154</f>
        <v>0</v>
      </c>
      <c r="T11" s="998">
        <f t="shared" si="12"/>
        <v>0</v>
      </c>
      <c r="U11" s="998">
        <f t="shared" ref="U11:V11" si="13">U167+U69+U82+U93+U121+U54+U154</f>
        <v>0</v>
      </c>
      <c r="V11" s="998">
        <f t="shared" si="13"/>
        <v>0</v>
      </c>
      <c r="W11" s="998">
        <f t="shared" ref="W11" si="14">W167+W69+W82+W93+W121+W54+W154</f>
        <v>0</v>
      </c>
      <c r="X11" s="354">
        <f>SUM(P11:W11)</f>
        <v>15949864</v>
      </c>
      <c r="Y11" s="2699"/>
    </row>
    <row r="12" spans="1:76" s="2480" customFormat="1" ht="14.25" customHeight="1">
      <c r="A12" s="2701"/>
      <c r="B12" s="524" t="s">
        <v>22</v>
      </c>
      <c r="C12" s="840"/>
      <c r="D12" s="578">
        <f>+D13+D18</f>
        <v>246619611</v>
      </c>
      <c r="E12" s="1069">
        <f t="shared" ref="E12:X12" si="15">+E13+E18</f>
        <v>21033125</v>
      </c>
      <c r="F12" s="1069">
        <f>+F13+F18</f>
        <v>285042</v>
      </c>
      <c r="G12" s="1069">
        <f>+G13+G18</f>
        <v>2189094</v>
      </c>
      <c r="H12" s="1069">
        <f>+H13+H18</f>
        <v>21735489</v>
      </c>
      <c r="I12" s="1069">
        <f t="shared" si="15"/>
        <v>29427464</v>
      </c>
      <c r="J12" s="1069">
        <f t="shared" si="15"/>
        <v>36663652</v>
      </c>
      <c r="K12" s="1069">
        <f>+K13+K18</f>
        <v>42166378</v>
      </c>
      <c r="L12" s="1069">
        <f t="shared" si="15"/>
        <v>34144149</v>
      </c>
      <c r="M12" s="1069">
        <f t="shared" ref="M12" si="16">+M13+M18</f>
        <v>196311150</v>
      </c>
      <c r="N12" s="1069">
        <f t="shared" si="15"/>
        <v>32876382</v>
      </c>
      <c r="O12" s="1069">
        <f t="shared" si="15"/>
        <v>20794987</v>
      </c>
      <c r="P12" s="1069">
        <f t="shared" si="15"/>
        <v>17266868</v>
      </c>
      <c r="Q12" s="1069">
        <f t="shared" si="15"/>
        <v>7246606</v>
      </c>
      <c r="R12" s="1069">
        <f t="shared" si="15"/>
        <v>2500000</v>
      </c>
      <c r="S12" s="1069">
        <f t="shared" ref="S12:T12" si="17">+S13+S18</f>
        <v>2500000</v>
      </c>
      <c r="T12" s="1069">
        <f t="shared" si="17"/>
        <v>0</v>
      </c>
      <c r="U12" s="1069">
        <f t="shared" ref="U12:V12" si="18">+U13+U18</f>
        <v>0</v>
      </c>
      <c r="V12" s="1069">
        <f t="shared" si="18"/>
        <v>0</v>
      </c>
      <c r="W12" s="1069">
        <f t="shared" ref="W12" si="19">+W13+W18</f>
        <v>0</v>
      </c>
      <c r="X12" s="2587">
        <f t="shared" si="15"/>
        <v>29513474</v>
      </c>
      <c r="Y12" s="2702"/>
      <c r="Z12" s="2478"/>
      <c r="AA12" s="2114"/>
      <c r="AB12" s="2479"/>
      <c r="AC12" s="2479"/>
      <c r="AD12" s="2479"/>
      <c r="AE12" s="2479"/>
      <c r="AF12" s="2479"/>
      <c r="AG12" s="2479"/>
      <c r="AH12" s="2479"/>
      <c r="AI12" s="2479"/>
      <c r="AJ12" s="2479"/>
      <c r="AK12" s="2479"/>
      <c r="AL12" s="2479"/>
      <c r="AM12" s="2479"/>
      <c r="AN12" s="2479"/>
      <c r="AO12" s="2479"/>
      <c r="AP12" s="2479"/>
      <c r="AQ12" s="2479"/>
      <c r="AR12" s="2479"/>
      <c r="AS12" s="2479"/>
      <c r="AT12" s="2479"/>
      <c r="AU12" s="2479"/>
      <c r="AV12" s="2479"/>
      <c r="AW12" s="2479"/>
      <c r="AX12" s="2479"/>
      <c r="AY12" s="2479"/>
      <c r="AZ12" s="2479"/>
      <c r="BA12" s="2479"/>
      <c r="BB12" s="2479"/>
      <c r="BC12" s="2479"/>
      <c r="BD12" s="2479"/>
      <c r="BE12" s="2479"/>
      <c r="BF12" s="2479"/>
      <c r="BG12" s="2479"/>
      <c r="BH12" s="2479"/>
      <c r="BI12" s="2479"/>
      <c r="BJ12" s="2479"/>
      <c r="BK12" s="2479"/>
      <c r="BL12" s="2479"/>
      <c r="BM12" s="2479"/>
      <c r="BN12" s="2479"/>
      <c r="BO12" s="2479"/>
      <c r="BP12" s="2479"/>
      <c r="BQ12" s="2479"/>
      <c r="BR12" s="2479"/>
      <c r="BS12" s="2479"/>
      <c r="BT12" s="2479"/>
      <c r="BU12" s="2479"/>
      <c r="BV12" s="2479"/>
      <c r="BW12" s="2479"/>
      <c r="BX12" s="2479"/>
    </row>
    <row r="13" spans="1:76" s="1233" customFormat="1" ht="12.75">
      <c r="A13" s="2703"/>
      <c r="B13" s="2589" t="s">
        <v>23</v>
      </c>
      <c r="C13" s="2590"/>
      <c r="D13" s="2591">
        <f>SUM(D14:D17)</f>
        <v>91773969</v>
      </c>
      <c r="E13" s="2591">
        <f>SUM(E14:E17)</f>
        <v>7016288</v>
      </c>
      <c r="F13" s="2591">
        <f>SUM(F14:F17)</f>
        <v>112997</v>
      </c>
      <c r="G13" s="2591">
        <f>SUM(G14:G17)</f>
        <v>715602</v>
      </c>
      <c r="H13" s="2591">
        <f>SUM(H14:H17)</f>
        <v>7800148</v>
      </c>
      <c r="I13" s="2591">
        <f>+I14+I15+I16+I17</f>
        <v>10721081</v>
      </c>
      <c r="J13" s="2591">
        <f>SUM(J14:J17)</f>
        <v>13387331</v>
      </c>
      <c r="K13" s="2591">
        <f>SUM(K14:K17)</f>
        <v>17025168</v>
      </c>
      <c r="L13" s="2591">
        <f>SUM(L14:L17)</f>
        <v>13487649</v>
      </c>
      <c r="M13" s="2591">
        <f>SUM(M14:M17)</f>
        <v>71971114</v>
      </c>
      <c r="N13" s="2591">
        <f>SUM(N14:N17)</f>
        <v>10333597</v>
      </c>
      <c r="O13" s="2591">
        <f t="shared" ref="O13:R13" si="20">SUM(O14:O17)</f>
        <v>5683873</v>
      </c>
      <c r="P13" s="2591">
        <f t="shared" si="20"/>
        <v>9384393</v>
      </c>
      <c r="Q13" s="2591">
        <f t="shared" si="20"/>
        <v>2916089</v>
      </c>
      <c r="R13" s="2591">
        <f t="shared" si="20"/>
        <v>909250</v>
      </c>
      <c r="S13" s="2591">
        <f t="shared" ref="S13:T13" si="21">SUM(S14:S17)</f>
        <v>909250</v>
      </c>
      <c r="T13" s="2591">
        <f t="shared" si="21"/>
        <v>0</v>
      </c>
      <c r="U13" s="2591">
        <f t="shared" ref="U13:V13" si="22">SUM(U14:U17)</f>
        <v>0</v>
      </c>
      <c r="V13" s="2591">
        <f t="shared" si="22"/>
        <v>0</v>
      </c>
      <c r="W13" s="2591">
        <f t="shared" ref="W13" si="23">SUM(W14:W17)</f>
        <v>0</v>
      </c>
      <c r="X13" s="2592">
        <f>SUM(X14:X17)</f>
        <v>14118982</v>
      </c>
      <c r="Y13" s="2704"/>
      <c r="AA13" s="2463"/>
    </row>
    <row r="14" spans="1:76" s="1233" customFormat="1" ht="12" customHeight="1">
      <c r="A14" s="2705"/>
      <c r="B14" s="2598" t="s">
        <v>24</v>
      </c>
      <c r="C14" s="2674"/>
      <c r="D14" s="2599">
        <f>+D37+D108+D123+D142+D156</f>
        <v>2497538</v>
      </c>
      <c r="E14" s="2599">
        <f>+E37+E108+E123+E142+E156</f>
        <v>1080394</v>
      </c>
      <c r="F14" s="2599">
        <f>+F37+F108+F123+F142+F156</f>
        <v>112997</v>
      </c>
      <c r="G14" s="2599">
        <f t="shared" ref="G14:H14" si="24">+G37+G108+G123+G142+G156</f>
        <v>715602</v>
      </c>
      <c r="H14" s="2599">
        <f t="shared" si="24"/>
        <v>1152743</v>
      </c>
      <c r="I14" s="2599">
        <f t="shared" ref="I14:T14" si="25">+I37+I108+I123+I142+I156</f>
        <v>435581</v>
      </c>
      <c r="J14" s="2599">
        <f t="shared" si="25"/>
        <v>404593</v>
      </c>
      <c r="K14" s="2599">
        <f t="shared" si="25"/>
        <v>92941</v>
      </c>
      <c r="L14" s="2599">
        <f t="shared" si="25"/>
        <v>185672</v>
      </c>
      <c r="M14" s="2599">
        <f t="shared" ref="M14" si="26">+M37+M108+M123+M142+M156</f>
        <v>2458153</v>
      </c>
      <c r="N14" s="2599">
        <f t="shared" si="25"/>
        <v>258972</v>
      </c>
      <c r="O14" s="2599">
        <f t="shared" si="25"/>
        <v>39385</v>
      </c>
      <c r="P14" s="2599">
        <f t="shared" si="25"/>
        <v>0</v>
      </c>
      <c r="Q14" s="2599">
        <f t="shared" si="25"/>
        <v>0</v>
      </c>
      <c r="R14" s="2599">
        <f t="shared" si="25"/>
        <v>0</v>
      </c>
      <c r="S14" s="2599">
        <f t="shared" si="25"/>
        <v>0</v>
      </c>
      <c r="T14" s="2599">
        <f t="shared" si="25"/>
        <v>0</v>
      </c>
      <c r="U14" s="2599">
        <f t="shared" ref="U14:V14" si="27">+U37+U108+U123+U142+U156</f>
        <v>0</v>
      </c>
      <c r="V14" s="2599">
        <f t="shared" si="27"/>
        <v>0</v>
      </c>
      <c r="W14" s="2599">
        <f t="shared" ref="W14" si="28">+W37+W108+W123+W142+W156</f>
        <v>0</v>
      </c>
      <c r="X14" s="1745">
        <f>+X37+X108+X123+X142+X156</f>
        <v>0</v>
      </c>
      <c r="Y14" s="2704"/>
      <c r="Z14" s="2483"/>
      <c r="AA14" s="1775"/>
    </row>
    <row r="15" spans="1:76" s="1233" customFormat="1" ht="12.95" customHeight="1" outlineLevel="1">
      <c r="A15" s="2705"/>
      <c r="B15" s="380" t="s">
        <v>25</v>
      </c>
      <c r="C15" s="2674"/>
      <c r="D15" s="2599">
        <f>D170+D38+D56+D143+D157</f>
        <v>7492191</v>
      </c>
      <c r="E15" s="2599">
        <f t="shared" ref="E15:L15" si="29">+E170+E38+E56</f>
        <v>0</v>
      </c>
      <c r="F15" s="2599">
        <f t="shared" si="29"/>
        <v>0</v>
      </c>
      <c r="G15" s="2599">
        <f t="shared" si="29"/>
        <v>0</v>
      </c>
      <c r="H15" s="2599">
        <f t="shared" si="29"/>
        <v>0</v>
      </c>
      <c r="I15" s="2599">
        <f t="shared" si="29"/>
        <v>0</v>
      </c>
      <c r="J15" s="2599">
        <f t="shared" si="29"/>
        <v>186654</v>
      </c>
      <c r="K15" s="2599">
        <f t="shared" si="29"/>
        <v>385639</v>
      </c>
      <c r="L15" s="2599">
        <f t="shared" si="29"/>
        <v>380697</v>
      </c>
      <c r="M15" s="2599">
        <f t="shared" ref="M15:T15" si="30">M170+M38+M56+M143+M157</f>
        <v>1346084</v>
      </c>
      <c r="N15" s="2599">
        <f t="shared" si="30"/>
        <v>393094</v>
      </c>
      <c r="O15" s="2599">
        <f t="shared" si="30"/>
        <v>1213003</v>
      </c>
      <c r="P15" s="2599">
        <f t="shared" si="30"/>
        <v>2000000</v>
      </c>
      <c r="Q15" s="2599">
        <f t="shared" si="30"/>
        <v>1114604</v>
      </c>
      <c r="R15" s="2599">
        <f t="shared" si="30"/>
        <v>909250</v>
      </c>
      <c r="S15" s="2599">
        <f t="shared" si="30"/>
        <v>909250</v>
      </c>
      <c r="T15" s="2599">
        <f t="shared" si="30"/>
        <v>0</v>
      </c>
      <c r="U15" s="2599">
        <f t="shared" ref="U15:V15" si="31">U170+U38+U56+U143+U157</f>
        <v>0</v>
      </c>
      <c r="V15" s="2599">
        <f t="shared" si="31"/>
        <v>0</v>
      </c>
      <c r="W15" s="2599">
        <f t="shared" ref="W15" si="32">W170+W38+W56+W143+W157</f>
        <v>0</v>
      </c>
      <c r="X15" s="1745">
        <f t="shared" ref="X15" si="33">X170+X38+X56+X143+X157</f>
        <v>4933104</v>
      </c>
      <c r="Y15" s="2704"/>
      <c r="Z15" s="2483">
        <f>D15-D25</f>
        <v>0</v>
      </c>
      <c r="AA15" s="1775"/>
    </row>
    <row r="16" spans="1:76" s="1233" customFormat="1" ht="12.95" customHeight="1" outlineLevel="1">
      <c r="A16" s="2705"/>
      <c r="B16" s="2598" t="s">
        <v>26</v>
      </c>
      <c r="C16" s="2674"/>
      <c r="D16" s="2599">
        <f>+D39+D95+D109+D124+D57</f>
        <v>65231996</v>
      </c>
      <c r="E16" s="2599">
        <f t="shared" ref="E16:L16" si="34">+E39+E95+E109+E124+E57+E143+E157</f>
        <v>5935894</v>
      </c>
      <c r="F16" s="2599">
        <f t="shared" si="34"/>
        <v>0</v>
      </c>
      <c r="G16" s="2599">
        <f t="shared" si="34"/>
        <v>0</v>
      </c>
      <c r="H16" s="2599">
        <f t="shared" si="34"/>
        <v>6647405</v>
      </c>
      <c r="I16" s="2599">
        <f t="shared" si="34"/>
        <v>10285500</v>
      </c>
      <c r="J16" s="2599">
        <f t="shared" si="34"/>
        <v>12796084</v>
      </c>
      <c r="K16" s="2599">
        <f t="shared" si="34"/>
        <v>12744811</v>
      </c>
      <c r="L16" s="2599">
        <f t="shared" si="34"/>
        <v>9659941</v>
      </c>
      <c r="M16" s="2599">
        <f t="shared" ref="M16:T16" si="35">+M39+M95+M109+M124+M57</f>
        <v>61103761</v>
      </c>
      <c r="N16" s="2599">
        <f t="shared" si="35"/>
        <v>9681531</v>
      </c>
      <c r="O16" s="2599">
        <f>+O39+O95+O109+O124+O57</f>
        <v>4128235</v>
      </c>
      <c r="P16" s="2599">
        <f t="shared" si="35"/>
        <v>0</v>
      </c>
      <c r="Q16" s="2599">
        <f t="shared" si="35"/>
        <v>0</v>
      </c>
      <c r="R16" s="2599">
        <f t="shared" si="35"/>
        <v>0</v>
      </c>
      <c r="S16" s="2599">
        <f t="shared" si="35"/>
        <v>0</v>
      </c>
      <c r="T16" s="2599">
        <f t="shared" si="35"/>
        <v>0</v>
      </c>
      <c r="U16" s="2599">
        <f t="shared" ref="U16:V16" si="36">+U39+U95+U109+U124+U57</f>
        <v>0</v>
      </c>
      <c r="V16" s="2599">
        <f t="shared" si="36"/>
        <v>0</v>
      </c>
      <c r="W16" s="2599">
        <f t="shared" ref="W16" si="37">+W39+W95+W109+W124+W57</f>
        <v>0</v>
      </c>
      <c r="X16" s="1745">
        <f t="shared" ref="X16" si="38">+X39+X95+X109+X124+X57</f>
        <v>0</v>
      </c>
      <c r="Y16" s="2704"/>
      <c r="Z16" s="2483">
        <f>D16-D26</f>
        <v>0</v>
      </c>
      <c r="AA16" s="1775"/>
    </row>
    <row r="17" spans="1:27" s="1233" customFormat="1" ht="12.95" customHeight="1" outlineLevel="1">
      <c r="A17" s="2705"/>
      <c r="B17" s="2598" t="s">
        <v>28</v>
      </c>
      <c r="C17" s="375"/>
      <c r="D17" s="2599">
        <f>+D71+D84</f>
        <v>16552244</v>
      </c>
      <c r="E17" s="2599">
        <f t="shared" ref="E17:T17" si="39">+E71+E84</f>
        <v>0</v>
      </c>
      <c r="F17" s="2599">
        <f t="shared" si="39"/>
        <v>0</v>
      </c>
      <c r="G17" s="2599">
        <f t="shared" si="39"/>
        <v>0</v>
      </c>
      <c r="H17" s="2599">
        <f t="shared" si="39"/>
        <v>0</v>
      </c>
      <c r="I17" s="2599">
        <f t="shared" si="39"/>
        <v>0</v>
      </c>
      <c r="J17" s="2599">
        <f t="shared" si="39"/>
        <v>0</v>
      </c>
      <c r="K17" s="2599">
        <f t="shared" si="39"/>
        <v>3801777</v>
      </c>
      <c r="L17" s="2599">
        <f t="shared" si="39"/>
        <v>3261339</v>
      </c>
      <c r="M17" s="2599">
        <f t="shared" ref="M17" si="40">+M71+M84</f>
        <v>7063116</v>
      </c>
      <c r="N17" s="2599">
        <f t="shared" si="39"/>
        <v>0</v>
      </c>
      <c r="O17" s="2599">
        <f t="shared" si="39"/>
        <v>303250</v>
      </c>
      <c r="P17" s="2599">
        <f t="shared" si="39"/>
        <v>7384393</v>
      </c>
      <c r="Q17" s="2599">
        <f t="shared" si="39"/>
        <v>1801485</v>
      </c>
      <c r="R17" s="2599">
        <f t="shared" si="39"/>
        <v>0</v>
      </c>
      <c r="S17" s="2599">
        <f t="shared" si="39"/>
        <v>0</v>
      </c>
      <c r="T17" s="2599">
        <f t="shared" si="39"/>
        <v>0</v>
      </c>
      <c r="U17" s="2599">
        <f t="shared" ref="U17:V17" si="41">+U71+U84</f>
        <v>0</v>
      </c>
      <c r="V17" s="2599">
        <f t="shared" si="41"/>
        <v>0</v>
      </c>
      <c r="W17" s="2599">
        <f t="shared" ref="W17" si="42">+W71+W84</f>
        <v>0</v>
      </c>
      <c r="X17" s="1745">
        <f t="shared" ref="X17" si="43">+X71+X84</f>
        <v>9185878</v>
      </c>
      <c r="Y17" s="2704"/>
      <c r="Z17" s="2483">
        <f>D17-D27</f>
        <v>0</v>
      </c>
      <c r="AA17" s="1775"/>
    </row>
    <row r="18" spans="1:27" s="1233" customFormat="1" ht="12.95" customHeight="1" outlineLevel="1">
      <c r="A18" s="2703"/>
      <c r="B18" s="2593" t="s">
        <v>30</v>
      </c>
      <c r="C18" s="2594"/>
      <c r="D18" s="2595">
        <f>+D20+D21+D22+D19</f>
        <v>154845642</v>
      </c>
      <c r="E18" s="2595">
        <f t="shared" ref="E18:T18" si="44">+E20+E21+E22+E19</f>
        <v>14016837</v>
      </c>
      <c r="F18" s="2595">
        <f t="shared" si="44"/>
        <v>172045</v>
      </c>
      <c r="G18" s="2595">
        <f t="shared" si="44"/>
        <v>1473492</v>
      </c>
      <c r="H18" s="2595">
        <f t="shared" si="44"/>
        <v>13935341</v>
      </c>
      <c r="I18" s="2595">
        <f t="shared" si="44"/>
        <v>18706383</v>
      </c>
      <c r="J18" s="2595">
        <f t="shared" si="44"/>
        <v>23276321</v>
      </c>
      <c r="K18" s="2595">
        <f t="shared" si="44"/>
        <v>25141210</v>
      </c>
      <c r="L18" s="2595">
        <f t="shared" si="44"/>
        <v>20656500</v>
      </c>
      <c r="M18" s="2595">
        <f t="shared" ref="M18" si="45">+M20+M21+M22+M19</f>
        <v>124340036</v>
      </c>
      <c r="N18" s="2595">
        <f t="shared" si="44"/>
        <v>22542785</v>
      </c>
      <c r="O18" s="2595">
        <f t="shared" si="44"/>
        <v>15111114</v>
      </c>
      <c r="P18" s="2595">
        <f t="shared" si="44"/>
        <v>7882475</v>
      </c>
      <c r="Q18" s="2595">
        <f t="shared" si="44"/>
        <v>4330517</v>
      </c>
      <c r="R18" s="2595">
        <f t="shared" si="44"/>
        <v>1590750</v>
      </c>
      <c r="S18" s="2595">
        <f t="shared" si="44"/>
        <v>1590750</v>
      </c>
      <c r="T18" s="2595">
        <f t="shared" si="44"/>
        <v>0</v>
      </c>
      <c r="U18" s="2595">
        <f t="shared" ref="U18:V18" si="46">+U20+U21+U22+U19</f>
        <v>0</v>
      </c>
      <c r="V18" s="2595">
        <f t="shared" si="46"/>
        <v>0</v>
      </c>
      <c r="W18" s="2595">
        <f t="shared" ref="W18" si="47">+W20+W21+W22+W19</f>
        <v>0</v>
      </c>
      <c r="X18" s="2596">
        <f>+X20+X21+X22+X19</f>
        <v>15394492</v>
      </c>
      <c r="Y18" s="2704"/>
      <c r="Z18" s="1775">
        <f>D20-D31</f>
        <v>0</v>
      </c>
      <c r="AA18" s="1775"/>
    </row>
    <row r="19" spans="1:27" s="1233" customFormat="1" ht="14.25" customHeight="1" outlineLevel="1">
      <c r="A19" s="2703"/>
      <c r="B19" s="2598" t="s">
        <v>24</v>
      </c>
      <c r="C19" s="2590"/>
      <c r="D19" s="2599">
        <f>+D111+D41</f>
        <v>5330527</v>
      </c>
      <c r="E19" s="2599">
        <f t="shared" ref="E19:R19" si="48">+E111+E41</f>
        <v>3422614</v>
      </c>
      <c r="F19" s="2599">
        <f t="shared" si="48"/>
        <v>172045</v>
      </c>
      <c r="G19" s="2599">
        <f t="shared" si="48"/>
        <v>1473492</v>
      </c>
      <c r="H19" s="2599">
        <f t="shared" si="48"/>
        <v>1744361</v>
      </c>
      <c r="I19" s="2599">
        <f t="shared" si="48"/>
        <v>1013833</v>
      </c>
      <c r="J19" s="2599">
        <f t="shared" si="48"/>
        <v>657500</v>
      </c>
      <c r="K19" s="2599">
        <f>+K111+K41</f>
        <v>39646</v>
      </c>
      <c r="L19" s="2599">
        <f t="shared" si="48"/>
        <v>39914</v>
      </c>
      <c r="M19" s="2599">
        <f t="shared" ref="M19" si="49">+M111+M41</f>
        <v>5330527</v>
      </c>
      <c r="N19" s="2599">
        <f t="shared" si="48"/>
        <v>157020</v>
      </c>
      <c r="O19" s="2599">
        <f t="shared" si="48"/>
        <v>0</v>
      </c>
      <c r="P19" s="2599">
        <f t="shared" si="48"/>
        <v>0</v>
      </c>
      <c r="Q19" s="2599">
        <f t="shared" si="48"/>
        <v>0</v>
      </c>
      <c r="R19" s="2599">
        <f t="shared" si="48"/>
        <v>0</v>
      </c>
      <c r="S19" s="2599">
        <f t="shared" ref="S19:T19" si="50">+S111+S41</f>
        <v>0</v>
      </c>
      <c r="T19" s="2599">
        <f t="shared" si="50"/>
        <v>0</v>
      </c>
      <c r="U19" s="2599">
        <f t="shared" ref="U19:V19" si="51">+U111+U41</f>
        <v>0</v>
      </c>
      <c r="V19" s="2599">
        <f t="shared" si="51"/>
        <v>0</v>
      </c>
      <c r="W19" s="2599">
        <f t="shared" ref="W19" si="52">+W111+W41</f>
        <v>0</v>
      </c>
      <c r="X19" s="1745">
        <f>+X111</f>
        <v>0</v>
      </c>
      <c r="Y19" s="2704"/>
      <c r="Z19" s="1775"/>
      <c r="AA19" s="1775"/>
    </row>
    <row r="20" spans="1:27" s="1233" customFormat="1" ht="14.25" customHeight="1" outlineLevel="1">
      <c r="A20" s="2703"/>
      <c r="B20" s="380" t="s">
        <v>33</v>
      </c>
      <c r="C20" s="2674"/>
      <c r="D20" s="2599">
        <f>D172+D42+D97+D59+D145+D159</f>
        <v>85326828</v>
      </c>
      <c r="E20" s="2599">
        <f>E172+E42+E97+E59</f>
        <v>0</v>
      </c>
      <c r="F20" s="2599">
        <f>F172+F42+F97+F59</f>
        <v>0</v>
      </c>
      <c r="G20" s="2599">
        <f t="shared" ref="G20:H20" si="53">G172+G42+G97+G59</f>
        <v>0</v>
      </c>
      <c r="H20" s="2599">
        <f t="shared" si="53"/>
        <v>9132612</v>
      </c>
      <c r="I20" s="2599">
        <f t="shared" ref="I20:L20" si="54">I172+I42+I97+I59</f>
        <v>0</v>
      </c>
      <c r="J20" s="2599">
        <f t="shared" si="54"/>
        <v>18991349</v>
      </c>
      <c r="K20" s="2599">
        <f t="shared" si="54"/>
        <v>19160035</v>
      </c>
      <c r="L20" s="2599">
        <f t="shared" si="54"/>
        <v>14854622</v>
      </c>
      <c r="M20" s="2599">
        <f t="shared" ref="M20:T20" si="55">M172+M42+M97+M59+M145+M159</f>
        <v>67853930</v>
      </c>
      <c r="N20" s="2599">
        <f t="shared" si="55"/>
        <v>14847924</v>
      </c>
      <c r="O20" s="2599">
        <f t="shared" si="55"/>
        <v>8842392</v>
      </c>
      <c r="P20" s="2599">
        <f t="shared" si="55"/>
        <v>3500000</v>
      </c>
      <c r="Q20" s="2599">
        <f t="shared" si="55"/>
        <v>1949006</v>
      </c>
      <c r="R20" s="2599">
        <f t="shared" si="55"/>
        <v>1590750</v>
      </c>
      <c r="S20" s="2599">
        <f t="shared" si="55"/>
        <v>1590750</v>
      </c>
      <c r="T20" s="2599">
        <f t="shared" si="55"/>
        <v>0</v>
      </c>
      <c r="U20" s="2599">
        <f t="shared" ref="U20:V20" si="56">U172+U42+U97+U59+U145+U159</f>
        <v>0</v>
      </c>
      <c r="V20" s="2599">
        <f t="shared" si="56"/>
        <v>0</v>
      </c>
      <c r="W20" s="2599">
        <f t="shared" ref="W20" si="57">W172+W42+W97+W59+W145+W159</f>
        <v>0</v>
      </c>
      <c r="X20" s="1745">
        <f>X172+X42+X97+X59+X145+X159</f>
        <v>8630506</v>
      </c>
      <c r="Y20" s="2704"/>
      <c r="Z20" s="2483"/>
      <c r="AA20" s="1775"/>
    </row>
    <row r="21" spans="1:27" s="1233" customFormat="1" ht="14.25" customHeight="1" outlineLevel="1">
      <c r="A21" s="2703"/>
      <c r="B21" s="2598" t="s">
        <v>26</v>
      </c>
      <c r="C21" s="2706"/>
      <c r="D21" s="2599">
        <f>+D43+D98+D112+D126+D60</f>
        <v>45796887</v>
      </c>
      <c r="E21" s="2599">
        <f t="shared" ref="E21:L21" si="58">+E43+E98+E112+E126+E60+E145+E159</f>
        <v>10594223</v>
      </c>
      <c r="F21" s="2599">
        <f t="shared" si="58"/>
        <v>0</v>
      </c>
      <c r="G21" s="2599">
        <f t="shared" si="58"/>
        <v>0</v>
      </c>
      <c r="H21" s="2599">
        <f t="shared" si="58"/>
        <v>3058368</v>
      </c>
      <c r="I21" s="2599">
        <f t="shared" si="58"/>
        <v>17692550</v>
      </c>
      <c r="J21" s="2599">
        <f t="shared" si="58"/>
        <v>2998223</v>
      </c>
      <c r="K21" s="2599">
        <f t="shared" si="58"/>
        <v>3753212</v>
      </c>
      <c r="L21" s="2599">
        <f t="shared" si="58"/>
        <v>4711864</v>
      </c>
      <c r="M21" s="2599">
        <f t="shared" ref="M21:T21" si="59">+M43+M98+M112+M126+M60</f>
        <v>44183146</v>
      </c>
      <c r="N21" s="2599">
        <f t="shared" si="59"/>
        <v>4433074</v>
      </c>
      <c r="O21" s="2599">
        <f t="shared" si="59"/>
        <v>1613741</v>
      </c>
      <c r="P21" s="2599">
        <f t="shared" si="59"/>
        <v>0</v>
      </c>
      <c r="Q21" s="2599">
        <f t="shared" si="59"/>
        <v>0</v>
      </c>
      <c r="R21" s="2599">
        <f t="shared" si="59"/>
        <v>0</v>
      </c>
      <c r="S21" s="2599">
        <f t="shared" si="59"/>
        <v>0</v>
      </c>
      <c r="T21" s="2599">
        <f t="shared" si="59"/>
        <v>0</v>
      </c>
      <c r="U21" s="2599">
        <f t="shared" ref="U21:V21" si="60">+U43+U98+U112+U126+U60</f>
        <v>0</v>
      </c>
      <c r="V21" s="2599">
        <f t="shared" si="60"/>
        <v>0</v>
      </c>
      <c r="W21" s="2599">
        <f t="shared" ref="W21" si="61">+W43+W98+W112+W126+W60</f>
        <v>0</v>
      </c>
      <c r="X21" s="1745">
        <f t="shared" ref="X21" si="62">+X43+X98+X112+X126+X60</f>
        <v>0</v>
      </c>
      <c r="Y21" s="2704"/>
      <c r="Z21" s="2483"/>
      <c r="AA21" s="1775"/>
    </row>
    <row r="22" spans="1:27" s="1233" customFormat="1" ht="14.25" customHeight="1" outlineLevel="1">
      <c r="A22" s="2703"/>
      <c r="B22" s="380" t="s">
        <v>32</v>
      </c>
      <c r="C22" s="2706"/>
      <c r="D22" s="2599">
        <f>D73+D86+D135</f>
        <v>18391400</v>
      </c>
      <c r="E22" s="2599">
        <f t="shared" ref="E22:R22" si="63">E73+E86+E135</f>
        <v>0</v>
      </c>
      <c r="F22" s="2599">
        <f t="shared" si="63"/>
        <v>0</v>
      </c>
      <c r="G22" s="2599">
        <f t="shared" si="63"/>
        <v>0</v>
      </c>
      <c r="H22" s="2599">
        <f t="shared" si="63"/>
        <v>0</v>
      </c>
      <c r="I22" s="2599">
        <f t="shared" si="63"/>
        <v>0</v>
      </c>
      <c r="J22" s="2599">
        <f t="shared" si="63"/>
        <v>629249</v>
      </c>
      <c r="K22" s="2599">
        <f t="shared" si="63"/>
        <v>2188317</v>
      </c>
      <c r="L22" s="2599">
        <f t="shared" si="63"/>
        <v>1050100</v>
      </c>
      <c r="M22" s="2599">
        <f t="shared" ref="M22" si="64">M73+M86+M135</f>
        <v>6972433</v>
      </c>
      <c r="N22" s="2599">
        <f t="shared" si="63"/>
        <v>3104767</v>
      </c>
      <c r="O22" s="2599">
        <f t="shared" si="63"/>
        <v>4654981</v>
      </c>
      <c r="P22" s="2599">
        <f t="shared" si="63"/>
        <v>4382475</v>
      </c>
      <c r="Q22" s="2599">
        <f t="shared" si="63"/>
        <v>2381511</v>
      </c>
      <c r="R22" s="2599">
        <f t="shared" si="63"/>
        <v>0</v>
      </c>
      <c r="S22" s="2599">
        <f t="shared" ref="S22" si="65">S73+S86+S135</f>
        <v>0</v>
      </c>
      <c r="T22" s="2599">
        <f>T73+T86+T135</f>
        <v>0</v>
      </c>
      <c r="U22" s="2599">
        <f t="shared" ref="U22:V22" si="66">U73+U86+U135</f>
        <v>0</v>
      </c>
      <c r="V22" s="2599">
        <f t="shared" si="66"/>
        <v>0</v>
      </c>
      <c r="W22" s="2599">
        <f t="shared" ref="W22" si="67">W73+W86+W135</f>
        <v>0</v>
      </c>
      <c r="X22" s="1745">
        <f>X73+X86+X135</f>
        <v>6763986</v>
      </c>
      <c r="Y22" s="2717"/>
      <c r="Z22" s="2483"/>
      <c r="AA22" s="1775"/>
    </row>
    <row r="23" spans="1:27" s="1233" customFormat="1" ht="13.5" customHeight="1" outlineLevel="1">
      <c r="A23" s="2700"/>
      <c r="B23" s="524" t="s">
        <v>34</v>
      </c>
      <c r="C23" s="545"/>
      <c r="D23" s="2588">
        <f>+D24+D30</f>
        <v>245816976</v>
      </c>
      <c r="E23" s="2588">
        <f t="shared" ref="E23:N23" si="68">+E24+E30</f>
        <v>16530117</v>
      </c>
      <c r="F23" s="2588">
        <f>+F24+F30</f>
        <v>0</v>
      </c>
      <c r="G23" s="2588">
        <f>+G24+G30</f>
        <v>0</v>
      </c>
      <c r="H23" s="2588">
        <f>+H24+H30</f>
        <v>18838385</v>
      </c>
      <c r="I23" s="2588">
        <f t="shared" si="68"/>
        <v>29793522</v>
      </c>
      <c r="J23" s="2588">
        <f t="shared" si="68"/>
        <v>41041331</v>
      </c>
      <c r="K23" s="2588">
        <f t="shared" si="68"/>
        <v>46148778</v>
      </c>
      <c r="L23" s="2588">
        <f t="shared" si="68"/>
        <v>36783449</v>
      </c>
      <c r="M23" s="2588">
        <f t="shared" ref="M23" si="69">+M24+M30</f>
        <v>199711129</v>
      </c>
      <c r="N23" s="2588">
        <f t="shared" si="68"/>
        <v>29413931</v>
      </c>
      <c r="O23" s="2588">
        <f>+O24+O30</f>
        <v>16323121</v>
      </c>
      <c r="P23" s="2588">
        <f>+P24+P30</f>
        <v>15387234</v>
      </c>
      <c r="Q23" s="2588">
        <f>+Q24+Q30</f>
        <v>4121553</v>
      </c>
      <c r="R23" s="2588">
        <f>+R24+R30</f>
        <v>7773940</v>
      </c>
      <c r="S23" s="2588">
        <f t="shared" ref="S23:T23" si="70">+S24+S30</f>
        <v>2500000</v>
      </c>
      <c r="T23" s="2588">
        <f t="shared" si="70"/>
        <v>0</v>
      </c>
      <c r="U23" s="2588">
        <f t="shared" ref="U23:V23" si="71">+U24+U30</f>
        <v>0</v>
      </c>
      <c r="V23" s="2588">
        <f t="shared" si="71"/>
        <v>0</v>
      </c>
      <c r="W23" s="2588">
        <f t="shared" ref="W23" si="72">+W24+W30</f>
        <v>0</v>
      </c>
      <c r="X23" s="4637" t="s">
        <v>77</v>
      </c>
      <c r="Y23" s="2718"/>
      <c r="Z23" s="1775">
        <f>D33-D22-D19</f>
        <v>0</v>
      </c>
    </row>
    <row r="24" spans="1:27" s="1233" customFormat="1" ht="12.75" customHeight="1" outlineLevel="1">
      <c r="A24" s="2703"/>
      <c r="B24" s="2589" t="s">
        <v>23</v>
      </c>
      <c r="C24" s="2590"/>
      <c r="D24" s="2591">
        <f t="shared" ref="D24:P24" si="73">SUM(D25:D29)</f>
        <v>90971334</v>
      </c>
      <c r="E24" s="2591">
        <f t="shared" si="73"/>
        <v>5935894</v>
      </c>
      <c r="F24" s="2591">
        <f t="shared" si="73"/>
        <v>0</v>
      </c>
      <c r="G24" s="2591">
        <f t="shared" si="73"/>
        <v>0</v>
      </c>
      <c r="H24" s="2591">
        <f t="shared" si="73"/>
        <v>6647405</v>
      </c>
      <c r="I24" s="2591">
        <f t="shared" si="73"/>
        <v>10739368</v>
      </c>
      <c r="J24" s="2591">
        <f t="shared" si="73"/>
        <v>13552536</v>
      </c>
      <c r="K24" s="2591">
        <f t="shared" si="73"/>
        <v>17406714</v>
      </c>
      <c r="L24" s="2591">
        <f t="shared" si="73"/>
        <v>13428525</v>
      </c>
      <c r="M24" s="2591">
        <f>SUM(M25:M29)</f>
        <v>71152240</v>
      </c>
      <c r="N24" s="2591">
        <f t="shared" si="73"/>
        <v>10089202</v>
      </c>
      <c r="O24" s="2591">
        <f t="shared" si="73"/>
        <v>5700113</v>
      </c>
      <c r="P24" s="2591">
        <f t="shared" si="73"/>
        <v>7481878</v>
      </c>
      <c r="Q24" s="2591">
        <f>SUM(Q25:Q29)</f>
        <v>1114604</v>
      </c>
      <c r="R24" s="2591">
        <f>SUM(R25:R29)</f>
        <v>4613250</v>
      </c>
      <c r="S24" s="2591">
        <f t="shared" ref="S24:T24" si="74">SUM(S25:S29)</f>
        <v>909250</v>
      </c>
      <c r="T24" s="2591">
        <f t="shared" si="74"/>
        <v>0</v>
      </c>
      <c r="U24" s="2591">
        <f t="shared" ref="U24:V24" si="75">SUM(U25:U29)</f>
        <v>0</v>
      </c>
      <c r="V24" s="2591">
        <f t="shared" si="75"/>
        <v>0</v>
      </c>
      <c r="W24" s="2591">
        <f t="shared" ref="W24" si="76">SUM(W25:W29)</f>
        <v>0</v>
      </c>
      <c r="X24" s="4568"/>
      <c r="Y24" s="2704"/>
      <c r="Z24" s="1775"/>
    </row>
    <row r="25" spans="1:27" s="1233" customFormat="1" ht="12.75" outlineLevel="1">
      <c r="A25" s="2705"/>
      <c r="B25" s="380" t="s">
        <v>25</v>
      </c>
      <c r="C25" s="375"/>
      <c r="D25" s="2599">
        <f>+D175+D46+D63+D148+D162</f>
        <v>7492191</v>
      </c>
      <c r="E25" s="2599">
        <f t="shared" ref="E25:L25" si="77">+E175+E46+E63</f>
        <v>0</v>
      </c>
      <c r="F25" s="2599">
        <f t="shared" si="77"/>
        <v>0</v>
      </c>
      <c r="G25" s="2599">
        <f t="shared" si="77"/>
        <v>0</v>
      </c>
      <c r="H25" s="2599">
        <f t="shared" si="77"/>
        <v>0</v>
      </c>
      <c r="I25" s="2599">
        <f t="shared" si="77"/>
        <v>0</v>
      </c>
      <c r="J25" s="2599">
        <f t="shared" si="77"/>
        <v>186654</v>
      </c>
      <c r="K25" s="2599">
        <f t="shared" si="77"/>
        <v>385639</v>
      </c>
      <c r="L25" s="2599">
        <f t="shared" si="77"/>
        <v>380697</v>
      </c>
      <c r="M25" s="2599">
        <f t="shared" ref="M25:T25" si="78">+M175+M46+M63+M148+M162</f>
        <v>1346084</v>
      </c>
      <c r="N25" s="2599">
        <f t="shared" si="78"/>
        <v>393094</v>
      </c>
      <c r="O25" s="2599">
        <f t="shared" si="78"/>
        <v>1213003</v>
      </c>
      <c r="P25" s="2599">
        <f t="shared" si="78"/>
        <v>2000000</v>
      </c>
      <c r="Q25" s="2599">
        <f t="shared" si="78"/>
        <v>1114604</v>
      </c>
      <c r="R25" s="2599">
        <f t="shared" si="78"/>
        <v>909250</v>
      </c>
      <c r="S25" s="2599">
        <f t="shared" si="78"/>
        <v>909250</v>
      </c>
      <c r="T25" s="2599">
        <f t="shared" si="78"/>
        <v>0</v>
      </c>
      <c r="U25" s="2599">
        <f t="shared" ref="U25:V25" si="79">+U175+U46+U63+U148+U162</f>
        <v>0</v>
      </c>
      <c r="V25" s="2599">
        <f t="shared" si="79"/>
        <v>0</v>
      </c>
      <c r="W25" s="2599">
        <f t="shared" ref="W25" si="80">+W175+W46+W63+W148+W162</f>
        <v>0</v>
      </c>
      <c r="X25" s="4568"/>
      <c r="Y25" s="2704"/>
      <c r="Z25" s="1775">
        <f>D25-D15</f>
        <v>0</v>
      </c>
    </row>
    <row r="26" spans="1:27" s="1233" customFormat="1" ht="12.95" customHeight="1" outlineLevel="1">
      <c r="A26" s="2705"/>
      <c r="B26" s="2598" t="s">
        <v>26</v>
      </c>
      <c r="C26" s="2674"/>
      <c r="D26" s="2599">
        <f>+D47+D101+D115+D129+D64</f>
        <v>65231996</v>
      </c>
      <c r="E26" s="2599">
        <f t="shared" ref="E26:L26" si="81">+E47+E101+E115+E129+E64+E148+E162</f>
        <v>5935894</v>
      </c>
      <c r="F26" s="2599">
        <f t="shared" si="81"/>
        <v>0</v>
      </c>
      <c r="G26" s="2599">
        <f t="shared" si="81"/>
        <v>0</v>
      </c>
      <c r="H26" s="2599">
        <f t="shared" si="81"/>
        <v>6647405</v>
      </c>
      <c r="I26" s="2599">
        <f t="shared" si="81"/>
        <v>10285500</v>
      </c>
      <c r="J26" s="2599">
        <f t="shared" si="81"/>
        <v>12796084</v>
      </c>
      <c r="K26" s="2599">
        <f t="shared" si="81"/>
        <v>12744811</v>
      </c>
      <c r="L26" s="2599">
        <f t="shared" si="81"/>
        <v>9659941</v>
      </c>
      <c r="M26" s="2599">
        <f t="shared" ref="M26:T26" si="82">+M47+M101+M115+M129+M64</f>
        <v>61103761</v>
      </c>
      <c r="N26" s="2599">
        <f t="shared" si="82"/>
        <v>9681531</v>
      </c>
      <c r="O26" s="2599">
        <f t="shared" si="82"/>
        <v>4128235</v>
      </c>
      <c r="P26" s="2599">
        <f t="shared" si="82"/>
        <v>0</v>
      </c>
      <c r="Q26" s="2599">
        <f t="shared" si="82"/>
        <v>0</v>
      </c>
      <c r="R26" s="2599">
        <f t="shared" si="82"/>
        <v>0</v>
      </c>
      <c r="S26" s="2599">
        <f t="shared" si="82"/>
        <v>0</v>
      </c>
      <c r="T26" s="2599">
        <f t="shared" si="82"/>
        <v>0</v>
      </c>
      <c r="U26" s="2599">
        <f t="shared" ref="U26:V26" si="83">+U47+U101+U115+U129+U64</f>
        <v>0</v>
      </c>
      <c r="V26" s="2599">
        <f t="shared" si="83"/>
        <v>0</v>
      </c>
      <c r="W26" s="2599">
        <f t="shared" ref="W26" si="84">+W47+W101+W115+W129+W64</f>
        <v>0</v>
      </c>
      <c r="X26" s="4568"/>
      <c r="Y26" s="2704"/>
      <c r="Z26" s="1775">
        <f>D26-D16</f>
        <v>0</v>
      </c>
    </row>
    <row r="27" spans="1:27" s="1233" customFormat="1" ht="11.25" customHeight="1" outlineLevel="1">
      <c r="A27" s="2705"/>
      <c r="B27" s="2598" t="s">
        <v>78</v>
      </c>
      <c r="C27" s="2674"/>
      <c r="D27" s="2599">
        <f>+D76+D89</f>
        <v>16552244</v>
      </c>
      <c r="E27" s="2599">
        <f t="shared" ref="E27:Q27" si="85">+E76+E89</f>
        <v>0</v>
      </c>
      <c r="F27" s="2599">
        <f t="shared" si="85"/>
        <v>0</v>
      </c>
      <c r="G27" s="2599">
        <f t="shared" si="85"/>
        <v>0</v>
      </c>
      <c r="H27" s="2599">
        <f t="shared" si="85"/>
        <v>0</v>
      </c>
      <c r="I27" s="2599">
        <f t="shared" si="85"/>
        <v>0</v>
      </c>
      <c r="J27" s="2599">
        <f t="shared" si="85"/>
        <v>0</v>
      </c>
      <c r="K27" s="2599">
        <f t="shared" si="85"/>
        <v>3801777</v>
      </c>
      <c r="L27" s="2599">
        <f t="shared" si="85"/>
        <v>3261339</v>
      </c>
      <c r="M27" s="2599">
        <f t="shared" ref="M27" si="86">+M76+M89</f>
        <v>7063116</v>
      </c>
      <c r="N27" s="2599">
        <f t="shared" si="85"/>
        <v>0</v>
      </c>
      <c r="O27" s="2599">
        <f t="shared" si="85"/>
        <v>303250</v>
      </c>
      <c r="P27" s="2599">
        <f t="shared" si="85"/>
        <v>5481878</v>
      </c>
      <c r="Q27" s="2599">
        <f t="shared" si="85"/>
        <v>0</v>
      </c>
      <c r="R27" s="2599">
        <f>+R76+R89</f>
        <v>3704000</v>
      </c>
      <c r="S27" s="2599">
        <f t="shared" ref="S27:T27" si="87">+S76+S89</f>
        <v>0</v>
      </c>
      <c r="T27" s="2599">
        <f t="shared" si="87"/>
        <v>0</v>
      </c>
      <c r="U27" s="2599">
        <f t="shared" ref="U27:V27" si="88">+U76+U89</f>
        <v>0</v>
      </c>
      <c r="V27" s="2599">
        <f t="shared" si="88"/>
        <v>0</v>
      </c>
      <c r="W27" s="2599">
        <f t="shared" ref="W27" si="89">+W76+W89</f>
        <v>0</v>
      </c>
      <c r="X27" s="4568"/>
      <c r="Y27" s="2704"/>
      <c r="Z27" s="1775">
        <f>D27-D17</f>
        <v>0</v>
      </c>
    </row>
    <row r="28" spans="1:27" s="1233" customFormat="1" ht="12" customHeight="1" outlineLevel="1">
      <c r="A28" s="2705"/>
      <c r="B28" s="2598" t="s">
        <v>37</v>
      </c>
      <c r="C28" s="2674"/>
      <c r="D28" s="2599">
        <f t="shared" ref="D28:Q28" si="90">+D116+D48</f>
        <v>1694903</v>
      </c>
      <c r="E28" s="2599">
        <f t="shared" si="90"/>
        <v>0</v>
      </c>
      <c r="F28" s="2599">
        <f t="shared" si="90"/>
        <v>0</v>
      </c>
      <c r="G28" s="2599">
        <f t="shared" si="90"/>
        <v>0</v>
      </c>
      <c r="H28" s="2599">
        <f t="shared" si="90"/>
        <v>0</v>
      </c>
      <c r="I28" s="2599">
        <f t="shared" si="90"/>
        <v>453868</v>
      </c>
      <c r="J28" s="2599">
        <f t="shared" si="90"/>
        <v>569798</v>
      </c>
      <c r="K28" s="2599">
        <f t="shared" si="90"/>
        <v>474487</v>
      </c>
      <c r="L28" s="2599">
        <f>+L116+L48</f>
        <v>126548</v>
      </c>
      <c r="M28" s="2599">
        <f>+M116+M48</f>
        <v>1639278</v>
      </c>
      <c r="N28" s="2599">
        <f t="shared" si="90"/>
        <v>14577</v>
      </c>
      <c r="O28" s="2599">
        <f t="shared" si="90"/>
        <v>55625</v>
      </c>
      <c r="P28" s="2599">
        <f t="shared" si="90"/>
        <v>0</v>
      </c>
      <c r="Q28" s="2599">
        <f t="shared" si="90"/>
        <v>0</v>
      </c>
      <c r="R28" s="2599">
        <f>+R116+R48</f>
        <v>0</v>
      </c>
      <c r="S28" s="2599">
        <f t="shared" ref="S28:T28" si="91">+S116+S48</f>
        <v>0</v>
      </c>
      <c r="T28" s="2599">
        <f t="shared" si="91"/>
        <v>0</v>
      </c>
      <c r="U28" s="2599">
        <f t="shared" ref="U28:V28" si="92">+U116+U48</f>
        <v>0</v>
      </c>
      <c r="V28" s="2599">
        <f t="shared" si="92"/>
        <v>0</v>
      </c>
      <c r="W28" s="2599">
        <f t="shared" ref="W28" si="93">+W116+W48</f>
        <v>0</v>
      </c>
      <c r="X28" s="4568"/>
      <c r="Y28" s="2704"/>
    </row>
    <row r="29" spans="1:27" s="1233" customFormat="1" ht="12.75" hidden="1" customHeight="1" outlineLevel="1">
      <c r="A29" s="2705"/>
      <c r="B29" s="2476" t="s">
        <v>24</v>
      </c>
      <c r="C29" s="2481"/>
      <c r="D29" s="2482">
        <v>0</v>
      </c>
      <c r="E29" s="2482">
        <v>0</v>
      </c>
      <c r="F29" s="2482">
        <v>0</v>
      </c>
      <c r="G29" s="2482">
        <v>0</v>
      </c>
      <c r="H29" s="2482">
        <v>0</v>
      </c>
      <c r="I29" s="2482">
        <v>0</v>
      </c>
      <c r="J29" s="2482">
        <v>0</v>
      </c>
      <c r="K29" s="2482">
        <v>0</v>
      </c>
      <c r="L29" s="2482">
        <v>0</v>
      </c>
      <c r="M29" s="2482">
        <v>1</v>
      </c>
      <c r="N29" s="2482">
        <v>0</v>
      </c>
      <c r="O29" s="2482">
        <v>0</v>
      </c>
      <c r="P29" s="2482">
        <v>0</v>
      </c>
      <c r="Q29" s="2482">
        <v>0</v>
      </c>
      <c r="R29" s="2482"/>
      <c r="S29" s="2482"/>
      <c r="T29" s="2482"/>
      <c r="U29" s="2482"/>
      <c r="V29" s="2482"/>
      <c r="W29" s="2482"/>
      <c r="X29" s="4568"/>
      <c r="Y29" s="2704"/>
    </row>
    <row r="30" spans="1:27" s="1233" customFormat="1" ht="12" customHeight="1" outlineLevel="1">
      <c r="A30" s="2703"/>
      <c r="B30" s="2593" t="s">
        <v>30</v>
      </c>
      <c r="C30" s="2597"/>
      <c r="D30" s="2595">
        <f>+D31+D33+D32</f>
        <v>154845642</v>
      </c>
      <c r="E30" s="2595">
        <f>+E31+E33+E32</f>
        <v>10594223</v>
      </c>
      <c r="F30" s="2595">
        <f>+F31+F33+F32</f>
        <v>0</v>
      </c>
      <c r="G30" s="2595">
        <f>+G31+G33+G32</f>
        <v>0</v>
      </c>
      <c r="H30" s="2595">
        <f>+H31+H33+H32</f>
        <v>12190980</v>
      </c>
      <c r="I30" s="2595">
        <f t="shared" ref="I30:P30" si="94">SUM(I31:I33)</f>
        <v>19054154</v>
      </c>
      <c r="J30" s="2595">
        <f t="shared" si="94"/>
        <v>27488795</v>
      </c>
      <c r="K30" s="2595">
        <f t="shared" si="94"/>
        <v>28742064</v>
      </c>
      <c r="L30" s="2595">
        <f t="shared" si="94"/>
        <v>23354924</v>
      </c>
      <c r="M30" s="2595">
        <f t="shared" ref="M30" si="95">SUM(M31:M33)</f>
        <v>128558889</v>
      </c>
      <c r="N30" s="2595">
        <f t="shared" si="94"/>
        <v>19324729</v>
      </c>
      <c r="O30" s="2595">
        <f t="shared" si="94"/>
        <v>10623008</v>
      </c>
      <c r="P30" s="2595">
        <f t="shared" si="94"/>
        <v>7905356</v>
      </c>
      <c r="Q30" s="2595">
        <f>SUM(Q31:Q33)</f>
        <v>3006949</v>
      </c>
      <c r="R30" s="2595">
        <f>SUM(R31:R33)</f>
        <v>3160690</v>
      </c>
      <c r="S30" s="2595">
        <f t="shared" ref="S30:T30" si="96">SUM(S31:S33)</f>
        <v>1590750</v>
      </c>
      <c r="T30" s="2595">
        <f t="shared" si="96"/>
        <v>0</v>
      </c>
      <c r="U30" s="2595">
        <f t="shared" ref="U30:V30" si="97">SUM(U31:U33)</f>
        <v>0</v>
      </c>
      <c r="V30" s="2595">
        <f t="shared" si="97"/>
        <v>0</v>
      </c>
      <c r="W30" s="2595">
        <f t="shared" ref="W30" si="98">SUM(W31:W33)</f>
        <v>0</v>
      </c>
      <c r="X30" s="4568"/>
      <c r="Y30" s="2704"/>
    </row>
    <row r="31" spans="1:27" s="1233" customFormat="1" ht="12.95" customHeight="1" outlineLevel="1">
      <c r="A31" s="2705"/>
      <c r="B31" s="380" t="s">
        <v>33</v>
      </c>
      <c r="C31" s="2707"/>
      <c r="D31" s="2599">
        <f>D178+D103+D50+D66+D151+D165</f>
        <v>85326828</v>
      </c>
      <c r="E31" s="2599">
        <f>E178+E103+E50+E66</f>
        <v>0</v>
      </c>
      <c r="F31" s="2599">
        <f t="shared" ref="F31:H31" si="99">F178+F103+F50+F66</f>
        <v>0</v>
      </c>
      <c r="G31" s="2599">
        <f t="shared" si="99"/>
        <v>0</v>
      </c>
      <c r="H31" s="2599">
        <f t="shared" si="99"/>
        <v>9132612</v>
      </c>
      <c r="I31" s="2599">
        <f t="shared" ref="I31:L31" si="100">I178+I103+I50+I66</f>
        <v>0</v>
      </c>
      <c r="J31" s="2599">
        <f t="shared" si="100"/>
        <v>18991349</v>
      </c>
      <c r="K31" s="2599">
        <f t="shared" si="100"/>
        <v>19160035</v>
      </c>
      <c r="L31" s="2599">
        <f t="shared" si="100"/>
        <v>14854622</v>
      </c>
      <c r="M31" s="2599">
        <f t="shared" ref="M31:T31" si="101">M178+M103+M50+M66+M151+M165</f>
        <v>67853930</v>
      </c>
      <c r="N31" s="2599">
        <f t="shared" si="101"/>
        <v>14847924</v>
      </c>
      <c r="O31" s="2599">
        <f t="shared" si="101"/>
        <v>8842392</v>
      </c>
      <c r="P31" s="2599">
        <f t="shared" si="101"/>
        <v>3500000</v>
      </c>
      <c r="Q31" s="2599">
        <f t="shared" si="101"/>
        <v>1949006</v>
      </c>
      <c r="R31" s="2599">
        <f t="shared" si="101"/>
        <v>1590750</v>
      </c>
      <c r="S31" s="2599">
        <f t="shared" si="101"/>
        <v>1590750</v>
      </c>
      <c r="T31" s="2599">
        <f t="shared" si="101"/>
        <v>0</v>
      </c>
      <c r="U31" s="2599">
        <f t="shared" ref="U31:V31" si="102">U178+U103+U50+U66+U151+U165</f>
        <v>0</v>
      </c>
      <c r="V31" s="2599">
        <f t="shared" si="102"/>
        <v>0</v>
      </c>
      <c r="W31" s="2599">
        <f t="shared" ref="W31" si="103">W178+W103+W50+W66+W151+W165</f>
        <v>0</v>
      </c>
      <c r="X31" s="4568"/>
      <c r="Y31" s="2704"/>
      <c r="Z31" s="1775">
        <f>D31-D20</f>
        <v>0</v>
      </c>
    </row>
    <row r="32" spans="1:27" s="1233" customFormat="1" ht="12.95" customHeight="1" outlineLevel="1">
      <c r="A32" s="2705"/>
      <c r="B32" s="2598" t="s">
        <v>26</v>
      </c>
      <c r="C32" s="2707"/>
      <c r="D32" s="2599">
        <f>+D51+D104+D118+D131+D67</f>
        <v>45796887</v>
      </c>
      <c r="E32" s="2599">
        <f t="shared" ref="E32:L32" si="104">+E51+E104+E118+E131+E67+E151+E165</f>
        <v>10594223</v>
      </c>
      <c r="F32" s="2599">
        <f t="shared" si="104"/>
        <v>0</v>
      </c>
      <c r="G32" s="2599">
        <f t="shared" si="104"/>
        <v>0</v>
      </c>
      <c r="H32" s="2599">
        <f t="shared" si="104"/>
        <v>3058368</v>
      </c>
      <c r="I32" s="2599">
        <f t="shared" si="104"/>
        <v>17692550</v>
      </c>
      <c r="J32" s="2599">
        <f t="shared" si="104"/>
        <v>2998223</v>
      </c>
      <c r="K32" s="2599">
        <f t="shared" si="104"/>
        <v>3753212</v>
      </c>
      <c r="L32" s="2599">
        <f t="shared" si="104"/>
        <v>4711864</v>
      </c>
      <c r="M32" s="2599">
        <f t="shared" ref="M32:T32" si="105">+M51+M104+M118+M131+M67</f>
        <v>44183146</v>
      </c>
      <c r="N32" s="2599">
        <f t="shared" si="105"/>
        <v>4433074</v>
      </c>
      <c r="O32" s="2599">
        <f t="shared" si="105"/>
        <v>1613741</v>
      </c>
      <c r="P32" s="2599">
        <f t="shared" si="105"/>
        <v>0</v>
      </c>
      <c r="Q32" s="2599">
        <f t="shared" si="105"/>
        <v>0</v>
      </c>
      <c r="R32" s="2599">
        <f t="shared" si="105"/>
        <v>0</v>
      </c>
      <c r="S32" s="2599">
        <f t="shared" si="105"/>
        <v>0</v>
      </c>
      <c r="T32" s="2599">
        <f t="shared" si="105"/>
        <v>0</v>
      </c>
      <c r="U32" s="2599">
        <f t="shared" ref="U32:V32" si="106">+U51+U104+U118+U131+U67</f>
        <v>0</v>
      </c>
      <c r="V32" s="2599">
        <f t="shared" si="106"/>
        <v>0</v>
      </c>
      <c r="W32" s="2599">
        <f t="shared" ref="W32" si="107">+W51+W104+W118+W131+W67</f>
        <v>0</v>
      </c>
      <c r="X32" s="4568"/>
      <c r="Y32" s="2704"/>
      <c r="Z32" s="1775">
        <f>D32-D21</f>
        <v>0</v>
      </c>
      <c r="AA32" s="1775"/>
    </row>
    <row r="33" spans="1:26" s="1233" customFormat="1" ht="12.75">
      <c r="A33" s="2705"/>
      <c r="B33" s="380" t="s">
        <v>32</v>
      </c>
      <c r="C33" s="2708"/>
      <c r="D33" s="2599">
        <f>+D78+D91+D119+D52+D138</f>
        <v>23721927</v>
      </c>
      <c r="E33" s="2599">
        <f t="shared" ref="E33:R33" si="108">+E78+E91+E119+E52+E138</f>
        <v>0</v>
      </c>
      <c r="F33" s="2599">
        <f t="shared" si="108"/>
        <v>0</v>
      </c>
      <c r="G33" s="2599">
        <f t="shared" si="108"/>
        <v>0</v>
      </c>
      <c r="H33" s="2599">
        <f t="shared" si="108"/>
        <v>0</v>
      </c>
      <c r="I33" s="2599">
        <f t="shared" si="108"/>
        <v>1361604</v>
      </c>
      <c r="J33" s="2599">
        <f t="shared" si="108"/>
        <v>5499223</v>
      </c>
      <c r="K33" s="2599">
        <f t="shared" si="108"/>
        <v>5828817</v>
      </c>
      <c r="L33" s="2599">
        <f t="shared" si="108"/>
        <v>3788438</v>
      </c>
      <c r="M33" s="2599">
        <f t="shared" ref="M33" si="109">+M78+M91+M119+M52+M138</f>
        <v>16521813</v>
      </c>
      <c r="N33" s="2599">
        <f t="shared" si="108"/>
        <v>43731</v>
      </c>
      <c r="O33" s="2599">
        <f t="shared" si="108"/>
        <v>166875</v>
      </c>
      <c r="P33" s="2599">
        <f t="shared" si="108"/>
        <v>4405356</v>
      </c>
      <c r="Q33" s="2599">
        <f t="shared" si="108"/>
        <v>1057943</v>
      </c>
      <c r="R33" s="2599">
        <f t="shared" si="108"/>
        <v>1569940</v>
      </c>
      <c r="S33" s="2599">
        <f t="shared" ref="S33:T33" si="110">+S78+S91+S119+S52+S138</f>
        <v>0</v>
      </c>
      <c r="T33" s="2599">
        <f t="shared" si="110"/>
        <v>0</v>
      </c>
      <c r="U33" s="2599">
        <f t="shared" ref="U33:V33" si="111">+U78+U91+U119+U52+U138</f>
        <v>0</v>
      </c>
      <c r="V33" s="2599">
        <f t="shared" si="111"/>
        <v>0</v>
      </c>
      <c r="W33" s="2599">
        <f t="shared" ref="W33" si="112">+W78+W91+W119+W52+W138</f>
        <v>0</v>
      </c>
      <c r="X33" s="4638"/>
      <c r="Y33" s="2717"/>
      <c r="Z33" s="1775">
        <f>D33-D22-D19</f>
        <v>0</v>
      </c>
    </row>
    <row r="34" spans="1:26" s="848" customFormat="1" ht="41.25" customHeight="1">
      <c r="A34" s="4609" t="s">
        <v>79</v>
      </c>
      <c r="B34" s="2912" t="s">
        <v>242</v>
      </c>
      <c r="C34" s="2602" t="s">
        <v>131</v>
      </c>
      <c r="D34" s="2602"/>
      <c r="E34" s="2603"/>
      <c r="F34" s="2603"/>
      <c r="G34" s="2603"/>
      <c r="H34" s="2603"/>
      <c r="I34" s="2604"/>
      <c r="J34" s="2604"/>
      <c r="K34" s="2604"/>
      <c r="L34" s="2604"/>
      <c r="M34" s="2604"/>
      <c r="N34" s="2604"/>
      <c r="O34" s="2604"/>
      <c r="P34" s="2604"/>
      <c r="Q34" s="2604"/>
      <c r="R34" s="2604"/>
      <c r="S34" s="2604"/>
      <c r="T34" s="2604"/>
      <c r="U34" s="2604"/>
      <c r="V34" s="2604"/>
      <c r="W34" s="2604"/>
      <c r="X34" s="2487"/>
      <c r="Y34" s="4605" t="s">
        <v>243</v>
      </c>
    </row>
    <row r="35" spans="1:26" s="848" customFormat="1" ht="14.25" customHeight="1">
      <c r="A35" s="4609"/>
      <c r="B35" s="2275" t="s">
        <v>22</v>
      </c>
      <c r="C35" s="3697"/>
      <c r="D35" s="3137">
        <f>+D36+D40</f>
        <v>7229182</v>
      </c>
      <c r="E35" s="3702">
        <f>+E36+E40</f>
        <v>71611</v>
      </c>
      <c r="F35" s="3702"/>
      <c r="G35" s="3702"/>
      <c r="H35" s="3702">
        <f t="shared" ref="H35:O35" si="113">+H36+H40</f>
        <v>290640</v>
      </c>
      <c r="I35" s="3702">
        <f t="shared" si="113"/>
        <v>457128</v>
      </c>
      <c r="J35" s="3702">
        <f t="shared" si="113"/>
        <v>775402</v>
      </c>
      <c r="K35" s="3702">
        <f t="shared" si="113"/>
        <v>1342191</v>
      </c>
      <c r="L35" s="2607">
        <f t="shared" si="113"/>
        <v>1407461</v>
      </c>
      <c r="M35" s="3702">
        <f t="shared" ref="M35" si="114">+M36+M40</f>
        <v>5550055</v>
      </c>
      <c r="N35" s="3702">
        <f t="shared" si="113"/>
        <v>1496262</v>
      </c>
      <c r="O35" s="2917">
        <f t="shared" si="113"/>
        <v>1679127</v>
      </c>
      <c r="P35" s="3702"/>
      <c r="Q35" s="3702"/>
      <c r="R35" s="3702"/>
      <c r="S35" s="3702"/>
      <c r="T35" s="3702"/>
      <c r="U35" s="3702"/>
      <c r="V35" s="3702"/>
      <c r="W35" s="3702"/>
      <c r="X35" s="3749">
        <f>+X36+X40</f>
        <v>0</v>
      </c>
      <c r="Y35" s="4556"/>
    </row>
    <row r="36" spans="1:26" s="848" customFormat="1" ht="12.95" customHeight="1">
      <c r="A36" s="4609"/>
      <c r="B36" s="2742" t="s">
        <v>23</v>
      </c>
      <c r="C36" s="4635" t="s">
        <v>244</v>
      </c>
      <c r="D36" s="3139">
        <f t="shared" ref="D36:O36" si="115">+D37+D39+D38</f>
        <v>1995286</v>
      </c>
      <c r="E36" s="3716">
        <f t="shared" si="115"/>
        <v>23998</v>
      </c>
      <c r="F36" s="3716">
        <f t="shared" si="115"/>
        <v>0</v>
      </c>
      <c r="G36" s="3716">
        <f t="shared" si="115"/>
        <v>0</v>
      </c>
      <c r="H36" s="3716">
        <f t="shared" si="115"/>
        <v>108486</v>
      </c>
      <c r="I36" s="3716">
        <f t="shared" si="115"/>
        <v>137759</v>
      </c>
      <c r="J36" s="3716">
        <f t="shared" si="115"/>
        <v>216362</v>
      </c>
      <c r="K36" s="3716">
        <f t="shared" si="115"/>
        <v>374915</v>
      </c>
      <c r="L36" s="2610">
        <f t="shared" si="115"/>
        <v>380697</v>
      </c>
      <c r="M36" s="3704">
        <f t="shared" ref="M36" si="116">+M37+M39+M38</f>
        <v>1535509</v>
      </c>
      <c r="N36" s="3716">
        <f t="shared" si="115"/>
        <v>401778</v>
      </c>
      <c r="O36" s="3139">
        <f t="shared" si="115"/>
        <v>459777</v>
      </c>
      <c r="P36" s="3716"/>
      <c r="Q36" s="3716"/>
      <c r="R36" s="3716"/>
      <c r="S36" s="3716"/>
      <c r="T36" s="3716"/>
      <c r="U36" s="3716"/>
      <c r="V36" s="3716"/>
      <c r="W36" s="3716"/>
      <c r="X36" s="3750">
        <f>+X37+X39+X38</f>
        <v>0</v>
      </c>
      <c r="Y36" s="4556"/>
    </row>
    <row r="37" spans="1:26" s="848" customFormat="1" ht="12.95" customHeight="1">
      <c r="A37" s="4609"/>
      <c r="B37" s="2426" t="s">
        <v>24</v>
      </c>
      <c r="C37" s="4635"/>
      <c r="D37" s="3141">
        <f>M37+O37+P37+Q37+R37+S37+T37</f>
        <v>83440</v>
      </c>
      <c r="E37" s="3712">
        <v>19032</v>
      </c>
      <c r="F37" s="3712"/>
      <c r="G37" s="3712"/>
      <c r="H37" s="3712"/>
      <c r="I37" s="3712">
        <v>26016</v>
      </c>
      <c r="J37" s="3712">
        <f>30000-292</f>
        <v>29708</v>
      </c>
      <c r="K37" s="3712">
        <v>0</v>
      </c>
      <c r="L37" s="3751">
        <v>0</v>
      </c>
      <c r="M37" s="3712">
        <f>E37+I37+J37+K37+L37+N37</f>
        <v>83440</v>
      </c>
      <c r="N37" s="3712">
        <v>8684</v>
      </c>
      <c r="O37" s="3143">
        <v>0</v>
      </c>
      <c r="P37" s="3712"/>
      <c r="Q37" s="3712"/>
      <c r="R37" s="3712"/>
      <c r="S37" s="3712"/>
      <c r="T37" s="3712"/>
      <c r="U37" s="3712"/>
      <c r="V37" s="3712"/>
      <c r="W37" s="3712"/>
      <c r="X37" s="3715">
        <f>SUM(P37:T37)</f>
        <v>0</v>
      </c>
      <c r="Y37" s="4556"/>
      <c r="Z37" s="2495"/>
    </row>
    <row r="38" spans="1:26" s="2029" customFormat="1" ht="12.95" customHeight="1">
      <c r="A38" s="4609"/>
      <c r="B38" s="2753" t="s">
        <v>25</v>
      </c>
      <c r="C38" s="4635"/>
      <c r="D38" s="3141">
        <f t="shared" ref="D38:D39" si="117">M38+O38+P38+Q38+R38+S38+T38</f>
        <v>1795137</v>
      </c>
      <c r="E38" s="3712">
        <v>0</v>
      </c>
      <c r="F38" s="3712"/>
      <c r="G38" s="3712"/>
      <c r="H38" s="3712"/>
      <c r="I38" s="3712">
        <v>0</v>
      </c>
      <c r="J38" s="3712">
        <f>181000+25632-19978</f>
        <v>186654</v>
      </c>
      <c r="K38" s="3712">
        <f>300000+135000-12000-48085</f>
        <v>374915</v>
      </c>
      <c r="L38" s="3751">
        <f>46000+350000-5000-10303</f>
        <v>380697</v>
      </c>
      <c r="M38" s="3712">
        <f>E38+I38+J38+K38+L38+N38</f>
        <v>1335360</v>
      </c>
      <c r="N38" s="3712">
        <v>393094</v>
      </c>
      <c r="O38" s="3143">
        <f>325000+10303+144697-20223</f>
        <v>459777</v>
      </c>
      <c r="P38" s="3712"/>
      <c r="Q38" s="3712"/>
      <c r="R38" s="3712"/>
      <c r="S38" s="3712"/>
      <c r="T38" s="3712"/>
      <c r="U38" s="3712"/>
      <c r="V38" s="3712"/>
      <c r="W38" s="3712"/>
      <c r="X38" s="3715">
        <f>SUM(P38:T38)</f>
        <v>0</v>
      </c>
      <c r="Y38" s="4556"/>
      <c r="Z38" s="2037"/>
    </row>
    <row r="39" spans="1:26" s="2029" customFormat="1" ht="12.95" customHeight="1">
      <c r="A39" s="4609"/>
      <c r="B39" s="2426" t="s">
        <v>26</v>
      </c>
      <c r="C39" s="4635"/>
      <c r="D39" s="3141">
        <f t="shared" si="117"/>
        <v>116709</v>
      </c>
      <c r="E39" s="3752">
        <f>7834-2868</f>
        <v>4966</v>
      </c>
      <c r="F39" s="3752"/>
      <c r="G39" s="3752"/>
      <c r="H39" s="3752">
        <v>108486</v>
      </c>
      <c r="I39" s="3712">
        <f>450208-338465</f>
        <v>111743</v>
      </c>
      <c r="J39" s="3712">
        <v>0</v>
      </c>
      <c r="K39" s="3712">
        <v>0</v>
      </c>
      <c r="L39" s="3751">
        <v>0</v>
      </c>
      <c r="M39" s="3712">
        <f>E39+I39+J39+K39+L39+N39</f>
        <v>116709</v>
      </c>
      <c r="N39" s="3712">
        <v>0</v>
      </c>
      <c r="O39" s="3143">
        <v>0</v>
      </c>
      <c r="P39" s="3712"/>
      <c r="Q39" s="3712"/>
      <c r="R39" s="3712"/>
      <c r="S39" s="3712"/>
      <c r="T39" s="3712"/>
      <c r="U39" s="3712"/>
      <c r="V39" s="3712"/>
      <c r="W39" s="3712"/>
      <c r="X39" s="3715">
        <f>SUM(P39:T39)</f>
        <v>0</v>
      </c>
      <c r="Y39" s="4556"/>
    </row>
    <row r="40" spans="1:26" s="848" customFormat="1" ht="12.95" customHeight="1">
      <c r="A40" s="4609"/>
      <c r="B40" s="2747" t="s">
        <v>30</v>
      </c>
      <c r="C40" s="4635"/>
      <c r="D40" s="3139">
        <f>D42+D43+D41</f>
        <v>5233896</v>
      </c>
      <c r="E40" s="3716">
        <f>E42+E43+E41</f>
        <v>47613</v>
      </c>
      <c r="F40" s="3716">
        <f t="shared" ref="F40:O40" si="118">F42+F43+F41</f>
        <v>0</v>
      </c>
      <c r="G40" s="3716">
        <f t="shared" si="118"/>
        <v>0</v>
      </c>
      <c r="H40" s="3716">
        <f t="shared" si="118"/>
        <v>182154</v>
      </c>
      <c r="I40" s="3716">
        <f t="shared" si="118"/>
        <v>319369</v>
      </c>
      <c r="J40" s="3716">
        <f t="shared" si="118"/>
        <v>559040</v>
      </c>
      <c r="K40" s="3716">
        <f t="shared" si="118"/>
        <v>967276</v>
      </c>
      <c r="L40" s="2610">
        <f t="shared" si="118"/>
        <v>1026764</v>
      </c>
      <c r="M40" s="3704">
        <f t="shared" si="118"/>
        <v>4014546</v>
      </c>
      <c r="N40" s="3716">
        <f t="shared" si="118"/>
        <v>1094484</v>
      </c>
      <c r="O40" s="3139">
        <f t="shared" si="118"/>
        <v>1219350</v>
      </c>
      <c r="P40" s="3716"/>
      <c r="Q40" s="3716"/>
      <c r="R40" s="3716"/>
      <c r="S40" s="3716"/>
      <c r="T40" s="3716"/>
      <c r="U40" s="3716"/>
      <c r="V40" s="3716"/>
      <c r="W40" s="3716"/>
      <c r="X40" s="3750">
        <f>X42+X43+X41</f>
        <v>0</v>
      </c>
      <c r="Y40" s="4556"/>
    </row>
    <row r="41" spans="1:26" s="848" customFormat="1" ht="12.95" customHeight="1">
      <c r="A41" s="4609"/>
      <c r="B41" s="2426" t="s">
        <v>24</v>
      </c>
      <c r="C41" s="4635"/>
      <c r="D41" s="3141">
        <f t="shared" ref="D41:D43" si="119">M41+O41+P41+Q41+R41+S41+T41</f>
        <v>79073</v>
      </c>
      <c r="E41" s="3712">
        <v>32716</v>
      </c>
      <c r="F41" s="3712"/>
      <c r="G41" s="3712"/>
      <c r="H41" s="3712"/>
      <c r="I41" s="3712">
        <v>20306</v>
      </c>
      <c r="J41" s="3169">
        <v>0</v>
      </c>
      <c r="K41" s="3169">
        <v>0</v>
      </c>
      <c r="L41" s="2620">
        <v>0</v>
      </c>
      <c r="M41" s="3712">
        <f>E41+I41+J41+K41+L41+N41</f>
        <v>79073</v>
      </c>
      <c r="N41" s="3167">
        <v>26051</v>
      </c>
      <c r="O41" s="2911">
        <v>0</v>
      </c>
      <c r="P41" s="3704"/>
      <c r="Q41" s="3716"/>
      <c r="R41" s="3716"/>
      <c r="S41" s="3716"/>
      <c r="T41" s="3716"/>
      <c r="U41" s="3716"/>
      <c r="V41" s="3716"/>
      <c r="W41" s="3716"/>
      <c r="X41" s="3715">
        <f>SUM(P41:T41)</f>
        <v>0</v>
      </c>
      <c r="Y41" s="4556"/>
    </row>
    <row r="42" spans="1:26" s="848" customFormat="1" ht="12.95" customHeight="1">
      <c r="A42" s="4609"/>
      <c r="B42" s="2426" t="s">
        <v>33</v>
      </c>
      <c r="C42" s="4635"/>
      <c r="D42" s="3141">
        <f t="shared" si="119"/>
        <v>4840863</v>
      </c>
      <c r="E42" s="3752">
        <v>0</v>
      </c>
      <c r="F42" s="3752"/>
      <c r="G42" s="3752"/>
      <c r="H42" s="3752"/>
      <c r="I42" s="3712">
        <v>0</v>
      </c>
      <c r="J42" s="2368">
        <f>588000+24293-53253</f>
        <v>559040</v>
      </c>
      <c r="K42" s="2368">
        <f>900000+165000-18000-79724</f>
        <v>967276</v>
      </c>
      <c r="L42" s="3719">
        <f>1050000-23236</f>
        <v>1026764</v>
      </c>
      <c r="M42" s="3712">
        <f>E42+I42+J42+K42+L42+N42</f>
        <v>3621513</v>
      </c>
      <c r="N42" s="2368">
        <v>1068433</v>
      </c>
      <c r="O42" s="2388">
        <f>975000+23236+255764-34650</f>
        <v>1219350</v>
      </c>
      <c r="P42" s="3704"/>
      <c r="Q42" s="3704"/>
      <c r="R42" s="3704"/>
      <c r="S42" s="3704"/>
      <c r="T42" s="3704"/>
      <c r="U42" s="3704"/>
      <c r="V42" s="3704"/>
      <c r="W42" s="3704"/>
      <c r="X42" s="3715">
        <f>SUM(P42:T42)</f>
        <v>0</v>
      </c>
      <c r="Y42" s="4556"/>
    </row>
    <row r="43" spans="1:26" s="848" customFormat="1" ht="12.95" customHeight="1">
      <c r="A43" s="4609"/>
      <c r="B43" s="2426" t="s">
        <v>26</v>
      </c>
      <c r="C43" s="4635"/>
      <c r="D43" s="3141">
        <f t="shared" si="119"/>
        <v>313960</v>
      </c>
      <c r="E43" s="3712">
        <f>23504-8607</f>
        <v>14897</v>
      </c>
      <c r="F43" s="3712"/>
      <c r="G43" s="3712"/>
      <c r="H43" s="3712">
        <v>182154</v>
      </c>
      <c r="I43" s="3712">
        <f>143792+155271</f>
        <v>299063</v>
      </c>
      <c r="J43" s="3712">
        <v>0</v>
      </c>
      <c r="K43" s="3712">
        <v>0</v>
      </c>
      <c r="L43" s="3751">
        <v>0</v>
      </c>
      <c r="M43" s="3712">
        <f>E43+I43+J43+K43+L43+N43</f>
        <v>313960</v>
      </c>
      <c r="N43" s="3712">
        <v>0</v>
      </c>
      <c r="O43" s="3143">
        <v>0</v>
      </c>
      <c r="P43" s="3712"/>
      <c r="Q43" s="3712"/>
      <c r="R43" s="3712"/>
      <c r="S43" s="3712"/>
      <c r="T43" s="3712"/>
      <c r="U43" s="3712"/>
      <c r="V43" s="3712"/>
      <c r="W43" s="3712"/>
      <c r="X43" s="3715">
        <f>SUM(P43:T43)</f>
        <v>0</v>
      </c>
      <c r="Y43" s="4556"/>
      <c r="Z43" s="2495"/>
    </row>
    <row r="44" spans="1:26" s="848" customFormat="1" ht="12.95" customHeight="1">
      <c r="A44" s="4609"/>
      <c r="B44" s="2275" t="s">
        <v>34</v>
      </c>
      <c r="C44" s="3697"/>
      <c r="D44" s="2917">
        <f>+D45+D49</f>
        <v>7172100</v>
      </c>
      <c r="E44" s="3702">
        <f>+E45+E49</f>
        <v>19863</v>
      </c>
      <c r="F44" s="3702"/>
      <c r="G44" s="3702"/>
      <c r="H44" s="3702">
        <f t="shared" ref="H44:O44" si="120">+H45+H49</f>
        <v>290640</v>
      </c>
      <c r="I44" s="3702">
        <f t="shared" si="120"/>
        <v>410806</v>
      </c>
      <c r="J44" s="3702">
        <f t="shared" si="120"/>
        <v>745694</v>
      </c>
      <c r="K44" s="3702">
        <f t="shared" si="120"/>
        <v>1412887</v>
      </c>
      <c r="L44" s="2607">
        <f t="shared" si="120"/>
        <v>1407461</v>
      </c>
      <c r="M44" s="3702">
        <f t="shared" ref="M44" si="121">+M45+M49</f>
        <v>5458238</v>
      </c>
      <c r="N44" s="3702">
        <f t="shared" si="120"/>
        <v>1461527</v>
      </c>
      <c r="O44" s="2917">
        <f t="shared" si="120"/>
        <v>1713862</v>
      </c>
      <c r="P44" s="3702"/>
      <c r="Q44" s="3702"/>
      <c r="R44" s="3702"/>
      <c r="S44" s="3702"/>
      <c r="T44" s="3702"/>
      <c r="U44" s="3702"/>
      <c r="V44" s="3702"/>
      <c r="W44" s="3702"/>
      <c r="X44" s="4608" t="s">
        <v>77</v>
      </c>
      <c r="Y44" s="4556"/>
    </row>
    <row r="45" spans="1:26" s="848" customFormat="1" ht="12.95" customHeight="1">
      <c r="A45" s="4609"/>
      <c r="B45" s="2742" t="s">
        <v>23</v>
      </c>
      <c r="C45" s="4635" t="s">
        <v>244</v>
      </c>
      <c r="D45" s="2914">
        <f>D46+D47+D48</f>
        <v>1938204</v>
      </c>
      <c r="E45" s="3704">
        <f t="shared" ref="E45:O45" si="122">E46+E47+E48</f>
        <v>4966</v>
      </c>
      <c r="F45" s="3704">
        <f t="shared" si="122"/>
        <v>0</v>
      </c>
      <c r="G45" s="3704">
        <f t="shared" si="122"/>
        <v>0</v>
      </c>
      <c r="H45" s="3704">
        <f t="shared" si="122"/>
        <v>108486</v>
      </c>
      <c r="I45" s="3704">
        <f t="shared" si="122"/>
        <v>111743</v>
      </c>
      <c r="J45" s="3704">
        <f t="shared" si="122"/>
        <v>186654</v>
      </c>
      <c r="K45" s="3704">
        <f t="shared" si="122"/>
        <v>392589</v>
      </c>
      <c r="L45" s="3706">
        <f t="shared" si="122"/>
        <v>380697</v>
      </c>
      <c r="M45" s="3704">
        <f t="shared" ref="M45" si="123">M46+M47+M48</f>
        <v>1469743</v>
      </c>
      <c r="N45" s="3704">
        <f t="shared" si="122"/>
        <v>393094</v>
      </c>
      <c r="O45" s="2914">
        <f t="shared" si="122"/>
        <v>468461</v>
      </c>
      <c r="P45" s="3704"/>
      <c r="Q45" s="3704"/>
      <c r="R45" s="3704"/>
      <c r="S45" s="3704"/>
      <c r="T45" s="3704"/>
      <c r="U45" s="3704"/>
      <c r="V45" s="3704"/>
      <c r="W45" s="3704"/>
      <c r="X45" s="4608"/>
      <c r="Y45" s="4556"/>
    </row>
    <row r="46" spans="1:26" s="848" customFormat="1" ht="12.95" customHeight="1">
      <c r="A46" s="4609"/>
      <c r="B46" s="2753" t="s">
        <v>25</v>
      </c>
      <c r="C46" s="4635"/>
      <c r="D46" s="3141">
        <f t="shared" ref="D46:D48" si="124">M46+O46+P46+Q46+R46+S46+T46</f>
        <v>1795137</v>
      </c>
      <c r="E46" s="3169">
        <v>0</v>
      </c>
      <c r="F46" s="3169"/>
      <c r="G46" s="3169"/>
      <c r="H46" s="3169"/>
      <c r="I46" s="2370">
        <v>0</v>
      </c>
      <c r="J46" s="3712">
        <f>181000+25632-19978</f>
        <v>186654</v>
      </c>
      <c r="K46" s="2368">
        <f>300000+135000-12000-48085</f>
        <v>374915</v>
      </c>
      <c r="L46" s="3751">
        <f>46000+350000-5000-10303</f>
        <v>380697</v>
      </c>
      <c r="M46" s="3712">
        <f>E46+I46+J46+K46+L46+N46</f>
        <v>1335360</v>
      </c>
      <c r="N46" s="2368">
        <v>393094</v>
      </c>
      <c r="O46" s="2388">
        <f>325000+10303+144697-20223</f>
        <v>459777</v>
      </c>
      <c r="P46" s="3704"/>
      <c r="Q46" s="3704"/>
      <c r="R46" s="3704"/>
      <c r="S46" s="3704"/>
      <c r="T46" s="3704"/>
      <c r="U46" s="3704"/>
      <c r="V46" s="3704"/>
      <c r="W46" s="3704"/>
      <c r="X46" s="4608"/>
      <c r="Y46" s="4556"/>
    </row>
    <row r="47" spans="1:26" s="848" customFormat="1" ht="12.95" customHeight="1">
      <c r="A47" s="4609"/>
      <c r="B47" s="2426" t="s">
        <v>26</v>
      </c>
      <c r="C47" s="4635"/>
      <c r="D47" s="3141">
        <f t="shared" si="124"/>
        <v>116709</v>
      </c>
      <c r="E47" s="3752">
        <f>7834-2868</f>
        <v>4966</v>
      </c>
      <c r="F47" s="3752"/>
      <c r="G47" s="3752"/>
      <c r="H47" s="3752">
        <v>108486</v>
      </c>
      <c r="I47" s="3712">
        <f>450208-338465</f>
        <v>111743</v>
      </c>
      <c r="J47" s="3712">
        <v>0</v>
      </c>
      <c r="K47" s="3712">
        <v>0</v>
      </c>
      <c r="L47" s="3751">
        <v>0</v>
      </c>
      <c r="M47" s="3712">
        <f>E47+I47+J47+K47+L47+N47</f>
        <v>116709</v>
      </c>
      <c r="N47" s="3712">
        <v>0</v>
      </c>
      <c r="O47" s="3143">
        <v>0</v>
      </c>
      <c r="P47" s="3712"/>
      <c r="Q47" s="3712"/>
      <c r="R47" s="3712"/>
      <c r="S47" s="3712"/>
      <c r="T47" s="3712"/>
      <c r="U47" s="3712"/>
      <c r="V47" s="3712"/>
      <c r="W47" s="3712"/>
      <c r="X47" s="4608"/>
      <c r="Y47" s="4556"/>
    </row>
    <row r="48" spans="1:26" s="848" customFormat="1" ht="12.75" customHeight="1">
      <c r="A48" s="4609"/>
      <c r="B48" s="2426" t="s">
        <v>37</v>
      </c>
      <c r="C48" s="4635"/>
      <c r="D48" s="3141">
        <f t="shared" si="124"/>
        <v>26358</v>
      </c>
      <c r="E48" s="3752">
        <v>0</v>
      </c>
      <c r="F48" s="3752"/>
      <c r="G48" s="3752"/>
      <c r="H48" s="3752"/>
      <c r="I48" s="3712">
        <v>0</v>
      </c>
      <c r="J48" s="3712">
        <v>0</v>
      </c>
      <c r="K48" s="3712">
        <v>17674</v>
      </c>
      <c r="L48" s="3751">
        <v>0</v>
      </c>
      <c r="M48" s="3712">
        <f>E48+I48+J48+K48+L48+N48</f>
        <v>17674</v>
      </c>
      <c r="N48" s="3712">
        <v>0</v>
      </c>
      <c r="O48" s="3143">
        <v>8684</v>
      </c>
      <c r="P48" s="3712"/>
      <c r="Q48" s="3712"/>
      <c r="R48" s="3712"/>
      <c r="S48" s="3712"/>
      <c r="T48" s="3712"/>
      <c r="U48" s="3712"/>
      <c r="V48" s="3712"/>
      <c r="W48" s="3712"/>
      <c r="X48" s="4608"/>
      <c r="Y48" s="4556"/>
    </row>
    <row r="49" spans="1:25" s="848" customFormat="1" ht="12.75" customHeight="1">
      <c r="A49" s="4609"/>
      <c r="B49" s="2747" t="s">
        <v>30</v>
      </c>
      <c r="C49" s="4635"/>
      <c r="D49" s="2914">
        <f>D50+D51+D52</f>
        <v>5233896</v>
      </c>
      <c r="E49" s="3704">
        <f t="shared" ref="E49:O49" si="125">E50+E51+E52</f>
        <v>14897</v>
      </c>
      <c r="F49" s="3704">
        <f t="shared" si="125"/>
        <v>0</v>
      </c>
      <c r="G49" s="3704">
        <f t="shared" si="125"/>
        <v>0</v>
      </c>
      <c r="H49" s="3704">
        <f t="shared" si="125"/>
        <v>182154</v>
      </c>
      <c r="I49" s="3704">
        <f t="shared" si="125"/>
        <v>299063</v>
      </c>
      <c r="J49" s="3704">
        <f t="shared" si="125"/>
        <v>559040</v>
      </c>
      <c r="K49" s="3704">
        <f t="shared" si="125"/>
        <v>1020298</v>
      </c>
      <c r="L49" s="3706">
        <f t="shared" si="125"/>
        <v>1026764</v>
      </c>
      <c r="M49" s="3704">
        <f t="shared" si="125"/>
        <v>3988495</v>
      </c>
      <c r="N49" s="3704">
        <f t="shared" si="125"/>
        <v>1068433</v>
      </c>
      <c r="O49" s="2914">
        <f t="shared" si="125"/>
        <v>1245401</v>
      </c>
      <c r="P49" s="3704"/>
      <c r="Q49" s="3704"/>
      <c r="R49" s="3704"/>
      <c r="S49" s="3704"/>
      <c r="T49" s="3704"/>
      <c r="U49" s="3704"/>
      <c r="V49" s="3704"/>
      <c r="W49" s="3704"/>
      <c r="X49" s="4608"/>
      <c r="Y49" s="4556"/>
    </row>
    <row r="50" spans="1:25" s="848" customFormat="1" ht="12.95" customHeight="1">
      <c r="A50" s="4609"/>
      <c r="B50" s="2753" t="s">
        <v>33</v>
      </c>
      <c r="C50" s="4635"/>
      <c r="D50" s="3141">
        <f t="shared" ref="D50:D52" si="126">M50+O50+P50+Q50+R50+S50+T50</f>
        <v>4840863</v>
      </c>
      <c r="E50" s="3716">
        <v>0</v>
      </c>
      <c r="F50" s="3716"/>
      <c r="G50" s="3716"/>
      <c r="H50" s="3716"/>
      <c r="I50" s="3704">
        <v>0</v>
      </c>
      <c r="J50" s="2368">
        <f>588000+24293-53253</f>
        <v>559040</v>
      </c>
      <c r="K50" s="2368">
        <f>900000+165000-18000-79724</f>
        <v>967276</v>
      </c>
      <c r="L50" s="3719">
        <f>1050000-23236</f>
        <v>1026764</v>
      </c>
      <c r="M50" s="3712">
        <f>E50+I50+J50+K50+L50+N50</f>
        <v>3621513</v>
      </c>
      <c r="N50" s="2368">
        <v>1068433</v>
      </c>
      <c r="O50" s="2388">
        <f>975000+23236+255764-34650</f>
        <v>1219350</v>
      </c>
      <c r="P50" s="3704"/>
      <c r="Q50" s="3704"/>
      <c r="R50" s="3704"/>
      <c r="S50" s="3704"/>
      <c r="T50" s="3704"/>
      <c r="U50" s="3704"/>
      <c r="V50" s="3704"/>
      <c r="W50" s="3704"/>
      <c r="X50" s="4608"/>
      <c r="Y50" s="4556"/>
    </row>
    <row r="51" spans="1:25" s="848" customFormat="1" ht="12.95" customHeight="1">
      <c r="A51" s="4609"/>
      <c r="B51" s="2426" t="s">
        <v>26</v>
      </c>
      <c r="C51" s="4635"/>
      <c r="D51" s="3141">
        <f t="shared" si="126"/>
        <v>313960</v>
      </c>
      <c r="E51" s="3752">
        <f>23504-8607</f>
        <v>14897</v>
      </c>
      <c r="F51" s="3752"/>
      <c r="G51" s="3752"/>
      <c r="H51" s="3752">
        <v>182154</v>
      </c>
      <c r="I51" s="3712">
        <f>143792+155271</f>
        <v>299063</v>
      </c>
      <c r="J51" s="3712">
        <v>0</v>
      </c>
      <c r="K51" s="3712">
        <v>0</v>
      </c>
      <c r="L51" s="3712">
        <v>0</v>
      </c>
      <c r="M51" s="3712">
        <f>E51+I51+J51+K51+L51+N51</f>
        <v>313960</v>
      </c>
      <c r="N51" s="3712">
        <v>0</v>
      </c>
      <c r="O51" s="3143">
        <v>0</v>
      </c>
      <c r="P51" s="3712"/>
      <c r="Q51" s="3712"/>
      <c r="R51" s="3712"/>
      <c r="S51" s="3712"/>
      <c r="T51" s="3712"/>
      <c r="U51" s="3712"/>
      <c r="V51" s="3712"/>
      <c r="W51" s="3712"/>
      <c r="X51" s="4608"/>
      <c r="Y51" s="4556"/>
    </row>
    <row r="52" spans="1:25" s="848" customFormat="1" ht="12.95" customHeight="1" thickBot="1">
      <c r="A52" s="4634"/>
      <c r="B52" s="3744" t="s">
        <v>32</v>
      </c>
      <c r="C52" s="4636"/>
      <c r="D52" s="3148">
        <f t="shared" si="126"/>
        <v>79073</v>
      </c>
      <c r="E52" s="3753">
        <v>0</v>
      </c>
      <c r="F52" s="3753"/>
      <c r="G52" s="3753"/>
      <c r="H52" s="3753"/>
      <c r="I52" s="3754">
        <v>0</v>
      </c>
      <c r="J52" s="498">
        <v>0</v>
      </c>
      <c r="K52" s="498">
        <v>53022</v>
      </c>
      <c r="L52" s="498">
        <v>0</v>
      </c>
      <c r="M52" s="3727">
        <f>E52+I52+J52+K52+L52+N52</f>
        <v>53022</v>
      </c>
      <c r="N52" s="498">
        <v>0</v>
      </c>
      <c r="O52" s="1825">
        <v>26051</v>
      </c>
      <c r="P52" s="3754"/>
      <c r="Q52" s="3754"/>
      <c r="R52" s="3754"/>
      <c r="S52" s="3754"/>
      <c r="T52" s="3754"/>
      <c r="U52" s="3754"/>
      <c r="V52" s="3754"/>
      <c r="W52" s="3754"/>
      <c r="X52" s="3755"/>
      <c r="Y52" s="4599"/>
    </row>
    <row r="53" spans="1:25" s="848" customFormat="1" ht="45.75" customHeight="1">
      <c r="A53" s="4609" t="s">
        <v>80</v>
      </c>
      <c r="B53" s="3689" t="s">
        <v>245</v>
      </c>
      <c r="C53" s="3748" t="s">
        <v>98</v>
      </c>
      <c r="D53" s="3748"/>
      <c r="E53" s="529"/>
      <c r="F53" s="529"/>
      <c r="G53" s="529"/>
      <c r="H53" s="529"/>
      <c r="I53" s="530"/>
      <c r="J53" s="530"/>
      <c r="K53" s="530"/>
      <c r="L53" s="530"/>
      <c r="M53" s="530"/>
      <c r="N53" s="530"/>
      <c r="O53" s="530"/>
      <c r="P53" s="530"/>
      <c r="Q53" s="530"/>
      <c r="R53" s="530"/>
      <c r="S53" s="530"/>
      <c r="T53" s="530"/>
      <c r="U53" s="530"/>
      <c r="V53" s="530"/>
      <c r="W53" s="530"/>
      <c r="X53" s="3693"/>
      <c r="Y53" s="4556" t="s">
        <v>243</v>
      </c>
    </row>
    <row r="54" spans="1:25" s="848" customFormat="1" ht="12.95" customHeight="1">
      <c r="A54" s="4609"/>
      <c r="B54" s="512" t="s">
        <v>22</v>
      </c>
      <c r="C54" s="2605"/>
      <c r="D54" s="2627">
        <f>+D55+D58</f>
        <v>38955</v>
      </c>
      <c r="E54" s="2606">
        <f>+E55+E58</f>
        <v>11475</v>
      </c>
      <c r="F54" s="2606"/>
      <c r="G54" s="2606"/>
      <c r="H54" s="2606">
        <f t="shared" ref="H54:O54" si="127">+H55+H58</f>
        <v>0</v>
      </c>
      <c r="I54" s="2628">
        <f t="shared" si="127"/>
        <v>0</v>
      </c>
      <c r="J54" s="2628">
        <f t="shared" si="127"/>
        <v>0</v>
      </c>
      <c r="K54" s="2606">
        <f t="shared" si="127"/>
        <v>27480</v>
      </c>
      <c r="L54" s="2629">
        <f t="shared" si="127"/>
        <v>0</v>
      </c>
      <c r="M54" s="2606">
        <f>+M55+M58</f>
        <v>38955</v>
      </c>
      <c r="N54" s="2628">
        <f t="shared" si="127"/>
        <v>0</v>
      </c>
      <c r="O54" s="2628">
        <f t="shared" si="127"/>
        <v>0</v>
      </c>
      <c r="P54" s="2606"/>
      <c r="Q54" s="2606"/>
      <c r="R54" s="2606"/>
      <c r="S54" s="2606"/>
      <c r="T54" s="2606"/>
      <c r="U54" s="2606"/>
      <c r="V54" s="2606"/>
      <c r="W54" s="2606"/>
      <c r="X54" s="2630">
        <f>+X55+X58</f>
        <v>0</v>
      </c>
      <c r="Y54" s="4556"/>
    </row>
    <row r="55" spans="1:25" s="848" customFormat="1" ht="12.95" customHeight="1">
      <c r="A55" s="4609"/>
      <c r="B55" s="2609" t="s">
        <v>23</v>
      </c>
      <c r="C55" s="4596" t="s">
        <v>244</v>
      </c>
      <c r="D55" s="2619">
        <f>+D56+D57</f>
        <v>13592</v>
      </c>
      <c r="E55" s="2619">
        <f t="shared" ref="E55:J55" si="128">+E56+E57</f>
        <v>2868</v>
      </c>
      <c r="F55" s="2619">
        <f t="shared" si="128"/>
        <v>0</v>
      </c>
      <c r="G55" s="2619">
        <f t="shared" si="128"/>
        <v>0</v>
      </c>
      <c r="H55" s="2619">
        <f t="shared" si="128"/>
        <v>0</v>
      </c>
      <c r="I55" s="2631">
        <f t="shared" si="128"/>
        <v>0</v>
      </c>
      <c r="J55" s="2631">
        <f t="shared" si="128"/>
        <v>0</v>
      </c>
      <c r="K55" s="2619">
        <f>+K56</f>
        <v>10724</v>
      </c>
      <c r="L55" s="2631">
        <f>+L56</f>
        <v>0</v>
      </c>
      <c r="M55" s="2619">
        <f>+M56+M57</f>
        <v>13592</v>
      </c>
      <c r="N55" s="2631">
        <f>+N56</f>
        <v>0</v>
      </c>
      <c r="O55" s="2631">
        <f>+O56</f>
        <v>0</v>
      </c>
      <c r="P55" s="2619"/>
      <c r="Q55" s="2619"/>
      <c r="R55" s="2619"/>
      <c r="S55" s="2619"/>
      <c r="T55" s="2619"/>
      <c r="U55" s="2619"/>
      <c r="V55" s="2619"/>
      <c r="W55" s="2619"/>
      <c r="X55" s="2632">
        <f>+X56</f>
        <v>0</v>
      </c>
      <c r="Y55" s="4556"/>
    </row>
    <row r="56" spans="1:25" s="848" customFormat="1" ht="11.25" customHeight="1">
      <c r="A56" s="4609"/>
      <c r="B56" s="2616" t="s">
        <v>25</v>
      </c>
      <c r="C56" s="4596"/>
      <c r="D56" s="2107">
        <f t="shared" ref="D56:D57" si="129">M56+O56+P56+Q56+R56+S56+T56</f>
        <v>10724</v>
      </c>
      <c r="E56" s="2613">
        <v>0</v>
      </c>
      <c r="F56" s="2613"/>
      <c r="G56" s="2613"/>
      <c r="H56" s="2613"/>
      <c r="I56" s="2633">
        <v>0</v>
      </c>
      <c r="J56" s="2633">
        <v>0</v>
      </c>
      <c r="K56" s="2613">
        <f>12000-1276</f>
        <v>10724</v>
      </c>
      <c r="L56" s="2633">
        <v>0</v>
      </c>
      <c r="M56" s="2613">
        <f>E56+I56+J56+K56+L56+N56</f>
        <v>10724</v>
      </c>
      <c r="N56" s="2633">
        <v>0</v>
      </c>
      <c r="O56" s="2633">
        <v>0</v>
      </c>
      <c r="P56" s="2613"/>
      <c r="Q56" s="2613"/>
      <c r="R56" s="2613"/>
      <c r="S56" s="2613"/>
      <c r="T56" s="2613"/>
      <c r="U56" s="2613"/>
      <c r="V56" s="2613"/>
      <c r="W56" s="2613"/>
      <c r="X56" s="2634">
        <f>SUM(P56:W56)</f>
        <v>0</v>
      </c>
      <c r="Y56" s="4556"/>
    </row>
    <row r="57" spans="1:25" s="848" customFormat="1" ht="12.95" customHeight="1">
      <c r="A57" s="4609"/>
      <c r="B57" s="510" t="s">
        <v>26</v>
      </c>
      <c r="C57" s="4596"/>
      <c r="D57" s="2107">
        <f t="shared" si="129"/>
        <v>2868</v>
      </c>
      <c r="E57" s="2617">
        <v>2868</v>
      </c>
      <c r="F57" s="2617"/>
      <c r="G57" s="2617"/>
      <c r="H57" s="2617"/>
      <c r="I57" s="2635">
        <v>0</v>
      </c>
      <c r="J57" s="2635">
        <v>0</v>
      </c>
      <c r="K57" s="2617">
        <v>0</v>
      </c>
      <c r="L57" s="2635">
        <v>0</v>
      </c>
      <c r="M57" s="2613">
        <f>E57+I57+J57+K57+L57+N57</f>
        <v>2868</v>
      </c>
      <c r="N57" s="2635">
        <v>0</v>
      </c>
      <c r="O57" s="2635">
        <v>0</v>
      </c>
      <c r="P57" s="2617"/>
      <c r="Q57" s="2617"/>
      <c r="R57" s="2617"/>
      <c r="S57" s="2617"/>
      <c r="T57" s="2617"/>
      <c r="U57" s="2617"/>
      <c r="V57" s="2617"/>
      <c r="W57" s="2617"/>
      <c r="X57" s="2634">
        <f>SUM(P57:W57)</f>
        <v>0</v>
      </c>
      <c r="Y57" s="4556"/>
    </row>
    <row r="58" spans="1:25" s="848" customFormat="1" ht="12" customHeight="1">
      <c r="A58" s="4609"/>
      <c r="B58" s="2618" t="s">
        <v>30</v>
      </c>
      <c r="C58" s="4596"/>
      <c r="D58" s="2619">
        <f t="shared" ref="D58:I58" si="130">D59+D60</f>
        <v>25363</v>
      </c>
      <c r="E58" s="2619">
        <f t="shared" si="130"/>
        <v>8607</v>
      </c>
      <c r="F58" s="2619">
        <f t="shared" si="130"/>
        <v>0</v>
      </c>
      <c r="G58" s="2619">
        <f t="shared" si="130"/>
        <v>0</v>
      </c>
      <c r="H58" s="2619">
        <f t="shared" si="130"/>
        <v>0</v>
      </c>
      <c r="I58" s="2631">
        <f t="shared" si="130"/>
        <v>0</v>
      </c>
      <c r="J58" s="2631">
        <f t="shared" ref="J58:O58" si="131">J59</f>
        <v>0</v>
      </c>
      <c r="K58" s="2619">
        <f>K59+K60</f>
        <v>16756</v>
      </c>
      <c r="L58" s="2631">
        <f t="shared" si="131"/>
        <v>0</v>
      </c>
      <c r="M58" s="2619">
        <f>M59+M60</f>
        <v>25363</v>
      </c>
      <c r="N58" s="2631">
        <f t="shared" si="131"/>
        <v>0</v>
      </c>
      <c r="O58" s="2631">
        <f t="shared" si="131"/>
        <v>0</v>
      </c>
      <c r="P58" s="2619"/>
      <c r="Q58" s="2619"/>
      <c r="R58" s="2619"/>
      <c r="S58" s="2619"/>
      <c r="T58" s="2619"/>
      <c r="U58" s="2619"/>
      <c r="V58" s="2619"/>
      <c r="W58" s="2619"/>
      <c r="X58" s="2632">
        <f>X59</f>
        <v>0</v>
      </c>
      <c r="Y58" s="4556"/>
    </row>
    <row r="59" spans="1:25" s="848" customFormat="1" ht="12.95" customHeight="1">
      <c r="A59" s="4609"/>
      <c r="B59" s="510" t="s">
        <v>33</v>
      </c>
      <c r="C59" s="4596"/>
      <c r="D59" s="2107">
        <f t="shared" ref="D59:D60" si="132">M59+O59+P59+Q59+R59+S59+T59</f>
        <v>16756</v>
      </c>
      <c r="E59" s="2619"/>
      <c r="F59" s="2619"/>
      <c r="G59" s="2619"/>
      <c r="H59" s="2619"/>
      <c r="I59" s="2636">
        <v>0</v>
      </c>
      <c r="J59" s="2637">
        <v>0</v>
      </c>
      <c r="K59" s="1701">
        <f>18000-1244</f>
        <v>16756</v>
      </c>
      <c r="L59" s="2638">
        <v>0</v>
      </c>
      <c r="M59" s="2613">
        <f>E59+I59+J59+K59+L59+N59</f>
        <v>16756</v>
      </c>
      <c r="N59" s="2637">
        <v>0</v>
      </c>
      <c r="O59" s="2637">
        <v>0</v>
      </c>
      <c r="P59" s="2611"/>
      <c r="Q59" s="2611"/>
      <c r="R59" s="2611"/>
      <c r="S59" s="2611"/>
      <c r="T59" s="2611"/>
      <c r="U59" s="2611"/>
      <c r="V59" s="2611"/>
      <c r="W59" s="2611"/>
      <c r="X59" s="2634">
        <f>SUM(P59:W59)</f>
        <v>0</v>
      </c>
      <c r="Y59" s="4556"/>
    </row>
    <row r="60" spans="1:25" s="848" customFormat="1" ht="12.95" customHeight="1">
      <c r="A60" s="4609"/>
      <c r="B60" s="510" t="s">
        <v>26</v>
      </c>
      <c r="C60" s="2639"/>
      <c r="D60" s="2107">
        <f t="shared" si="132"/>
        <v>8607</v>
      </c>
      <c r="E60" s="2621">
        <v>8607</v>
      </c>
      <c r="F60" s="2619"/>
      <c r="G60" s="2619"/>
      <c r="H60" s="2619"/>
      <c r="I60" s="2636">
        <v>0</v>
      </c>
      <c r="J60" s="2637">
        <v>0</v>
      </c>
      <c r="K60" s="1701">
        <v>0</v>
      </c>
      <c r="L60" s="2640">
        <v>0</v>
      </c>
      <c r="M60" s="2613">
        <f>E60+I60+J60+K60+L60+N60</f>
        <v>8607</v>
      </c>
      <c r="N60" s="2637">
        <v>0</v>
      </c>
      <c r="O60" s="2637"/>
      <c r="P60" s="2611"/>
      <c r="Q60" s="2611"/>
      <c r="R60" s="2611"/>
      <c r="S60" s="2611"/>
      <c r="T60" s="2611"/>
      <c r="U60" s="2611"/>
      <c r="V60" s="2611"/>
      <c r="W60" s="2611"/>
      <c r="X60" s="2634">
        <f>SUM(P60:W60)</f>
        <v>0</v>
      </c>
      <c r="Y60" s="4556"/>
    </row>
    <row r="61" spans="1:25" s="848" customFormat="1" ht="12.95" customHeight="1">
      <c r="A61" s="4609"/>
      <c r="B61" s="512" t="s">
        <v>34</v>
      </c>
      <c r="C61" s="2605"/>
      <c r="D61" s="2606">
        <f>+D62+D65</f>
        <v>38955</v>
      </c>
      <c r="E61" s="2606">
        <f>+E62+E65</f>
        <v>11475</v>
      </c>
      <c r="F61" s="2606">
        <f>+F62+F65</f>
        <v>0</v>
      </c>
      <c r="G61" s="2606">
        <f>+G62+G65</f>
        <v>0</v>
      </c>
      <c r="H61" s="2606">
        <f>+H62+H65</f>
        <v>0</v>
      </c>
      <c r="I61" s="2628">
        <f t="shared" ref="I61:O61" si="133">+I62+I65</f>
        <v>0</v>
      </c>
      <c r="J61" s="2628">
        <f t="shared" si="133"/>
        <v>0</v>
      </c>
      <c r="K61" s="2606">
        <f t="shared" si="133"/>
        <v>27480</v>
      </c>
      <c r="L61" s="2629">
        <f t="shared" si="133"/>
        <v>0</v>
      </c>
      <c r="M61" s="2606">
        <f>+M62+M65</f>
        <v>38955</v>
      </c>
      <c r="N61" s="2628">
        <f t="shared" si="133"/>
        <v>0</v>
      </c>
      <c r="O61" s="2628">
        <f t="shared" si="133"/>
        <v>0</v>
      </c>
      <c r="P61" s="2606"/>
      <c r="Q61" s="2606"/>
      <c r="R61" s="2606"/>
      <c r="S61" s="2606"/>
      <c r="T61" s="2606"/>
      <c r="U61" s="2606"/>
      <c r="V61" s="2606"/>
      <c r="W61" s="2606"/>
      <c r="X61" s="4597" t="s">
        <v>77</v>
      </c>
      <c r="Y61" s="4556"/>
    </row>
    <row r="62" spans="1:25" s="848" customFormat="1" ht="12.95" customHeight="1">
      <c r="A62" s="4609"/>
      <c r="B62" s="2609" t="s">
        <v>23</v>
      </c>
      <c r="C62" s="4596" t="s">
        <v>244</v>
      </c>
      <c r="D62" s="2611">
        <f>D63+D64</f>
        <v>13592</v>
      </c>
      <c r="E62" s="2611">
        <f>E63+E64</f>
        <v>2868</v>
      </c>
      <c r="F62" s="2611">
        <f t="shared" ref="F62:O62" si="134">F63</f>
        <v>0</v>
      </c>
      <c r="G62" s="2611">
        <f t="shared" si="134"/>
        <v>0</v>
      </c>
      <c r="H62" s="2611">
        <f>H68+H72</f>
        <v>0</v>
      </c>
      <c r="I62" s="2636">
        <f t="shared" si="134"/>
        <v>0</v>
      </c>
      <c r="J62" s="2636">
        <f t="shared" si="134"/>
        <v>0</v>
      </c>
      <c r="K62" s="2611">
        <f t="shared" si="134"/>
        <v>10724</v>
      </c>
      <c r="L62" s="2641">
        <f t="shared" si="134"/>
        <v>0</v>
      </c>
      <c r="M62" s="2611">
        <f>M63+M64</f>
        <v>13592</v>
      </c>
      <c r="N62" s="2636">
        <f t="shared" si="134"/>
        <v>0</v>
      </c>
      <c r="O62" s="2636">
        <f t="shared" si="134"/>
        <v>0</v>
      </c>
      <c r="P62" s="2611"/>
      <c r="Q62" s="2611"/>
      <c r="R62" s="2611"/>
      <c r="S62" s="2611"/>
      <c r="T62" s="2611"/>
      <c r="U62" s="2611"/>
      <c r="V62" s="2611"/>
      <c r="W62" s="2611"/>
      <c r="X62" s="4597"/>
      <c r="Y62" s="4556"/>
    </row>
    <row r="63" spans="1:25" s="848" customFormat="1" ht="12.95" customHeight="1">
      <c r="A63" s="4609"/>
      <c r="B63" s="2616" t="s">
        <v>25</v>
      </c>
      <c r="C63" s="4596"/>
      <c r="D63" s="2107">
        <f t="shared" ref="D63:D64" si="135">M63+O63+P63+Q63+R63+S63+T63</f>
        <v>10724</v>
      </c>
      <c r="E63" s="2621">
        <v>0</v>
      </c>
      <c r="F63" s="2621"/>
      <c r="G63" s="2621"/>
      <c r="H63" s="2621"/>
      <c r="I63" s="2637">
        <v>0</v>
      </c>
      <c r="J63" s="2633">
        <v>0</v>
      </c>
      <c r="K63" s="2613">
        <f>12000-1276</f>
        <v>10724</v>
      </c>
      <c r="L63" s="2642">
        <v>0</v>
      </c>
      <c r="M63" s="2613">
        <f>E63+I63+J63+K63+L63+N63</f>
        <v>10724</v>
      </c>
      <c r="N63" s="2637">
        <v>0</v>
      </c>
      <c r="O63" s="2637">
        <v>0</v>
      </c>
      <c r="P63" s="2611"/>
      <c r="Q63" s="2611"/>
      <c r="R63" s="2619"/>
      <c r="S63" s="2619"/>
      <c r="T63" s="2619"/>
      <c r="U63" s="2619"/>
      <c r="V63" s="2619"/>
      <c r="W63" s="2619"/>
      <c r="X63" s="4597"/>
      <c r="Y63" s="4556"/>
    </row>
    <row r="64" spans="1:25" s="848" customFormat="1" ht="11.25" customHeight="1">
      <c r="A64" s="4609"/>
      <c r="B64" s="510" t="s">
        <v>26</v>
      </c>
      <c r="C64" s="4596"/>
      <c r="D64" s="2107">
        <f t="shared" si="135"/>
        <v>2868</v>
      </c>
      <c r="E64" s="2621">
        <v>2868</v>
      </c>
      <c r="F64" s="2621"/>
      <c r="G64" s="2621"/>
      <c r="H64" s="2621"/>
      <c r="I64" s="2637">
        <v>0</v>
      </c>
      <c r="J64" s="2633">
        <v>0</v>
      </c>
      <c r="K64" s="2637">
        <v>0</v>
      </c>
      <c r="L64" s="2642">
        <v>0</v>
      </c>
      <c r="M64" s="2613">
        <f>E64+I64+J64+K64+L64+N64</f>
        <v>2868</v>
      </c>
      <c r="N64" s="2637">
        <v>0</v>
      </c>
      <c r="O64" s="2637">
        <v>0</v>
      </c>
      <c r="P64" s="2611"/>
      <c r="Q64" s="2611"/>
      <c r="R64" s="2611"/>
      <c r="S64" s="2611"/>
      <c r="T64" s="2611"/>
      <c r="U64" s="2611"/>
      <c r="V64" s="2611"/>
      <c r="W64" s="2611"/>
      <c r="X64" s="4597"/>
      <c r="Y64" s="4556"/>
    </row>
    <row r="65" spans="1:25" s="848" customFormat="1" ht="12.95" customHeight="1">
      <c r="A65" s="4609"/>
      <c r="B65" s="2618" t="s">
        <v>30</v>
      </c>
      <c r="C65" s="4596"/>
      <c r="D65" s="2611">
        <f>D66+D67</f>
        <v>25363</v>
      </c>
      <c r="E65" s="2611">
        <f>E66+E67</f>
        <v>8607</v>
      </c>
      <c r="F65" s="2611">
        <f>F66+F67</f>
        <v>0</v>
      </c>
      <c r="G65" s="2611">
        <f>G66+G67</f>
        <v>0</v>
      </c>
      <c r="H65" s="2611">
        <f>H66+H67</f>
        <v>0</v>
      </c>
      <c r="I65" s="2636">
        <f t="shared" ref="I65:O65" si="136">I66</f>
        <v>0</v>
      </c>
      <c r="J65" s="2636">
        <f t="shared" si="136"/>
        <v>0</v>
      </c>
      <c r="K65" s="2611">
        <f t="shared" si="136"/>
        <v>16756</v>
      </c>
      <c r="L65" s="2636">
        <f t="shared" si="136"/>
        <v>0</v>
      </c>
      <c r="M65" s="2611">
        <f>M66+M67</f>
        <v>25363</v>
      </c>
      <c r="N65" s="2636">
        <f t="shared" si="136"/>
        <v>0</v>
      </c>
      <c r="O65" s="2636">
        <f t="shared" si="136"/>
        <v>0</v>
      </c>
      <c r="P65" s="2611"/>
      <c r="Q65" s="2611"/>
      <c r="R65" s="2611"/>
      <c r="S65" s="2611"/>
      <c r="T65" s="2611"/>
      <c r="U65" s="2611"/>
      <c r="V65" s="2611"/>
      <c r="W65" s="2611"/>
      <c r="X65" s="4597"/>
      <c r="Y65" s="4556"/>
    </row>
    <row r="66" spans="1:25" s="848" customFormat="1">
      <c r="A66" s="4609"/>
      <c r="B66" s="2616" t="s">
        <v>33</v>
      </c>
      <c r="C66" s="4596"/>
      <c r="D66" s="2107">
        <f t="shared" ref="D66:D67" si="137">M66+O66+P66+Q66+R66+S66+T66</f>
        <v>16756</v>
      </c>
      <c r="E66" s="2621">
        <v>0</v>
      </c>
      <c r="F66" s="2621"/>
      <c r="G66" s="2621"/>
      <c r="H66" s="2621"/>
      <c r="I66" s="2637">
        <v>0</v>
      </c>
      <c r="J66" s="2637">
        <v>0</v>
      </c>
      <c r="K66" s="1701">
        <f>18000-1244</f>
        <v>16756</v>
      </c>
      <c r="L66" s="2637">
        <v>0</v>
      </c>
      <c r="M66" s="2613">
        <f>E66+I66+J66+K66+L66+N66</f>
        <v>16756</v>
      </c>
      <c r="N66" s="2637">
        <v>0</v>
      </c>
      <c r="O66" s="2637">
        <v>0</v>
      </c>
      <c r="P66" s="1701"/>
      <c r="Q66" s="1701"/>
      <c r="R66" s="1701"/>
      <c r="S66" s="1701"/>
      <c r="T66" s="1701"/>
      <c r="U66" s="1701"/>
      <c r="V66" s="1701"/>
      <c r="W66" s="1701"/>
      <c r="X66" s="4597"/>
      <c r="Y66" s="4556"/>
    </row>
    <row r="67" spans="1:25" s="848" customFormat="1" ht="12.95" customHeight="1">
      <c r="A67" s="2709"/>
      <c r="B67" s="510" t="s">
        <v>26</v>
      </c>
      <c r="C67" s="2643"/>
      <c r="D67" s="2107">
        <f t="shared" si="137"/>
        <v>8607</v>
      </c>
      <c r="E67" s="2621">
        <v>8607</v>
      </c>
      <c r="F67" s="2621"/>
      <c r="G67" s="2621"/>
      <c r="H67" s="2621"/>
      <c r="I67" s="2637">
        <v>0</v>
      </c>
      <c r="J67" s="2637">
        <v>0</v>
      </c>
      <c r="K67" s="1701">
        <v>0</v>
      </c>
      <c r="L67" s="2637">
        <v>0</v>
      </c>
      <c r="M67" s="2613">
        <f>E67+I67+J67+K67+L67+N67</f>
        <v>8607</v>
      </c>
      <c r="N67" s="2637">
        <v>0</v>
      </c>
      <c r="O67" s="2638">
        <v>0</v>
      </c>
      <c r="P67" s="2622"/>
      <c r="Q67" s="2622"/>
      <c r="R67" s="2622"/>
      <c r="S67" s="2622"/>
      <c r="T67" s="2622"/>
      <c r="U67" s="2622"/>
      <c r="V67" s="2622"/>
      <c r="W67" s="2622"/>
      <c r="X67" s="2624"/>
      <c r="Y67" s="4557"/>
    </row>
    <row r="68" spans="1:25" s="2500" customFormat="1" ht="41.25" customHeight="1">
      <c r="A68" s="4554" t="s">
        <v>81</v>
      </c>
      <c r="B68" s="2739" t="s">
        <v>246</v>
      </c>
      <c r="C68" s="2644" t="s">
        <v>98</v>
      </c>
      <c r="D68" s="2644"/>
      <c r="E68" s="2625"/>
      <c r="F68" s="2625"/>
      <c r="G68" s="2625"/>
      <c r="H68" s="2625"/>
      <c r="I68" s="2601"/>
      <c r="J68" s="2601"/>
      <c r="K68" s="2601"/>
      <c r="L68" s="2601"/>
      <c r="M68" s="2601"/>
      <c r="N68" s="2601"/>
      <c r="O68" s="2645"/>
      <c r="P68" s="2645"/>
      <c r="Q68" s="2645"/>
      <c r="R68" s="2645"/>
      <c r="S68" s="2645"/>
      <c r="T68" s="2645"/>
      <c r="U68" s="2645"/>
      <c r="V68" s="2645"/>
      <c r="W68" s="2645"/>
      <c r="X68" s="2626"/>
      <c r="Y68" s="4605" t="s">
        <v>247</v>
      </c>
    </row>
    <row r="69" spans="1:25" s="2500" customFormat="1" ht="13.5" customHeight="1">
      <c r="A69" s="4554"/>
      <c r="B69" s="512" t="s">
        <v>22</v>
      </c>
      <c r="C69" s="2605"/>
      <c r="D69" s="2646">
        <f t="shared" ref="D69:P69" si="138">+D70+D72</f>
        <v>15220421</v>
      </c>
      <c r="E69" s="2647">
        <f t="shared" si="138"/>
        <v>0</v>
      </c>
      <c r="F69" s="2647">
        <f t="shared" si="138"/>
        <v>0</v>
      </c>
      <c r="G69" s="2647">
        <f t="shared" si="138"/>
        <v>0</v>
      </c>
      <c r="H69" s="2647">
        <f t="shared" si="138"/>
        <v>0</v>
      </c>
      <c r="I69" s="2647">
        <f t="shared" si="138"/>
        <v>0</v>
      </c>
      <c r="J69" s="2648">
        <f t="shared" si="138"/>
        <v>629249</v>
      </c>
      <c r="K69" s="2648">
        <f t="shared" si="138"/>
        <v>5656222</v>
      </c>
      <c r="L69" s="2649">
        <f t="shared" si="138"/>
        <v>2983150</v>
      </c>
      <c r="M69" s="2648">
        <f t="shared" ref="M69" si="139">+M70+M72</f>
        <v>11755762</v>
      </c>
      <c r="N69" s="2648">
        <f t="shared" si="138"/>
        <v>2487141</v>
      </c>
      <c r="O69" s="2741">
        <f t="shared" si="138"/>
        <v>2210811</v>
      </c>
      <c r="P69" s="2741">
        <f t="shared" si="138"/>
        <v>1253848</v>
      </c>
      <c r="Q69" s="2606"/>
      <c r="R69" s="2606"/>
      <c r="S69" s="2606"/>
      <c r="T69" s="2606"/>
      <c r="U69" s="2606"/>
      <c r="V69" s="2606"/>
      <c r="W69" s="2606"/>
      <c r="X69" s="2650">
        <f>+X70+X72</f>
        <v>1253848</v>
      </c>
      <c r="Y69" s="4556"/>
    </row>
    <row r="70" spans="1:25" s="2500" customFormat="1" ht="13.5" customHeight="1">
      <c r="A70" s="4554"/>
      <c r="B70" s="2609" t="s">
        <v>23</v>
      </c>
      <c r="C70" s="4606" t="s">
        <v>248</v>
      </c>
      <c r="D70" s="2611">
        <f>D71</f>
        <v>7209673</v>
      </c>
      <c r="E70" s="2636">
        <f t="shared" ref="E70:N70" si="140">E71</f>
        <v>0</v>
      </c>
      <c r="F70" s="2636">
        <f t="shared" si="140"/>
        <v>0</v>
      </c>
      <c r="G70" s="2636">
        <f t="shared" si="140"/>
        <v>0</v>
      </c>
      <c r="H70" s="2636">
        <f t="shared" si="140"/>
        <v>0</v>
      </c>
      <c r="I70" s="2636">
        <f t="shared" si="140"/>
        <v>0</v>
      </c>
      <c r="J70" s="2636">
        <f t="shared" si="140"/>
        <v>0</v>
      </c>
      <c r="K70" s="2611">
        <f t="shared" si="140"/>
        <v>3801777</v>
      </c>
      <c r="L70" s="2623">
        <f t="shared" si="140"/>
        <v>2588068</v>
      </c>
      <c r="M70" s="2611">
        <f t="shared" si="140"/>
        <v>6389845</v>
      </c>
      <c r="N70" s="2611">
        <f t="shared" si="140"/>
        <v>0</v>
      </c>
      <c r="O70" s="2744">
        <f>O71</f>
        <v>303250</v>
      </c>
      <c r="P70" s="2744">
        <f>P71</f>
        <v>516578</v>
      </c>
      <c r="Q70" s="2611"/>
      <c r="R70" s="2611"/>
      <c r="S70" s="2611"/>
      <c r="T70" s="2611"/>
      <c r="U70" s="2611"/>
      <c r="V70" s="2611"/>
      <c r="W70" s="2611"/>
      <c r="X70" s="2651">
        <f>X71</f>
        <v>516578</v>
      </c>
      <c r="Y70" s="4556"/>
    </row>
    <row r="71" spans="1:25" s="2500" customFormat="1" ht="13.5" customHeight="1">
      <c r="A71" s="4554"/>
      <c r="B71" s="510" t="s">
        <v>78</v>
      </c>
      <c r="C71" s="4607"/>
      <c r="D71" s="2107">
        <f>M71+O71+P71+Q71+R71+S71+T71</f>
        <v>7209673</v>
      </c>
      <c r="E71" s="2635">
        <v>0</v>
      </c>
      <c r="F71" s="2635"/>
      <c r="G71" s="2635"/>
      <c r="H71" s="2635"/>
      <c r="I71" s="2633">
        <v>0</v>
      </c>
      <c r="J71" s="2633">
        <v>0</v>
      </c>
      <c r="K71" s="2613">
        <f>2852777+949000</f>
        <v>3801777</v>
      </c>
      <c r="L71" s="2614">
        <f>3556234-855353-112812-1</f>
        <v>2588068</v>
      </c>
      <c r="M71" s="2613">
        <f>E71+I71+J71+K71+L71+N71</f>
        <v>6389845</v>
      </c>
      <c r="N71" s="2613">
        <f>202176+69754+112812-384742</f>
        <v>0</v>
      </c>
      <c r="O71" s="2745">
        <f>372688-2013-67425</f>
        <v>303250</v>
      </c>
      <c r="P71" s="2745">
        <f>225798-161388+1+384742+67425</f>
        <v>516578</v>
      </c>
      <c r="Q71" s="2613"/>
      <c r="R71" s="2613"/>
      <c r="S71" s="2613"/>
      <c r="T71" s="2613"/>
      <c r="U71" s="2613"/>
      <c r="V71" s="2613"/>
      <c r="W71" s="2613"/>
      <c r="X71" s="2615">
        <f>SUM(P71:T71)</f>
        <v>516578</v>
      </c>
      <c r="Y71" s="4556"/>
    </row>
    <row r="72" spans="1:25" s="2500" customFormat="1" ht="13.5" customHeight="1">
      <c r="A72" s="4554"/>
      <c r="B72" s="2618" t="s">
        <v>30</v>
      </c>
      <c r="C72" s="4607"/>
      <c r="D72" s="2619">
        <f>D73</f>
        <v>8010748</v>
      </c>
      <c r="E72" s="2631">
        <f t="shared" ref="E72:P72" si="141">E73</f>
        <v>0</v>
      </c>
      <c r="F72" s="2631">
        <f t="shared" si="141"/>
        <v>0</v>
      </c>
      <c r="G72" s="2631">
        <f t="shared" si="141"/>
        <v>0</v>
      </c>
      <c r="H72" s="2631">
        <f t="shared" si="141"/>
        <v>0</v>
      </c>
      <c r="I72" s="2631">
        <f t="shared" si="141"/>
        <v>0</v>
      </c>
      <c r="J72" s="2619">
        <f t="shared" si="141"/>
        <v>629249</v>
      </c>
      <c r="K72" s="2619">
        <f t="shared" si="141"/>
        <v>1854445</v>
      </c>
      <c r="L72" s="2610">
        <f t="shared" si="141"/>
        <v>395082</v>
      </c>
      <c r="M72" s="2611">
        <f t="shared" si="141"/>
        <v>5365917</v>
      </c>
      <c r="N72" s="2619">
        <f t="shared" si="141"/>
        <v>2487141</v>
      </c>
      <c r="O72" s="2743">
        <f t="shared" si="141"/>
        <v>1907561</v>
      </c>
      <c r="P72" s="2743">
        <f t="shared" si="141"/>
        <v>737270</v>
      </c>
      <c r="Q72" s="2619"/>
      <c r="R72" s="2619"/>
      <c r="S72" s="2619"/>
      <c r="T72" s="2619"/>
      <c r="U72" s="2619"/>
      <c r="V72" s="2619"/>
      <c r="W72" s="2619"/>
      <c r="X72" s="2651">
        <f>X73</f>
        <v>737270</v>
      </c>
      <c r="Y72" s="4556"/>
    </row>
    <row r="73" spans="1:25" s="2500" customFormat="1" ht="13.5" customHeight="1">
      <c r="A73" s="4554"/>
      <c r="B73" s="510" t="s">
        <v>32</v>
      </c>
      <c r="C73" s="4607"/>
      <c r="D73" s="2107">
        <f>M73+O73+P73+Q73+R73+S73+T73</f>
        <v>8010748</v>
      </c>
      <c r="E73" s="2631">
        <v>0</v>
      </c>
      <c r="F73" s="2631"/>
      <c r="G73" s="2631"/>
      <c r="H73" s="2631"/>
      <c r="I73" s="2636">
        <v>0</v>
      </c>
      <c r="J73" s="1701">
        <f>631141-1892</f>
        <v>629249</v>
      </c>
      <c r="K73" s="1701">
        <f>1642504+253578-41637</f>
        <v>1854445</v>
      </c>
      <c r="L73" s="2622">
        <f>456822-39189-22551</f>
        <v>395082</v>
      </c>
      <c r="M73" s="2613">
        <f>E73+I73+J73+K73+L73+N73</f>
        <v>5365917</v>
      </c>
      <c r="N73" s="1701">
        <f>2650107-16771+41637-187832</f>
        <v>2487141</v>
      </c>
      <c r="O73" s="2910">
        <f>2274891-261371-105959</f>
        <v>1907561</v>
      </c>
      <c r="P73" s="2910">
        <f>357175+63753+22551+187832+105959</f>
        <v>737270</v>
      </c>
      <c r="Q73" s="1701"/>
      <c r="R73" s="1701"/>
      <c r="S73" s="1701"/>
      <c r="T73" s="1701"/>
      <c r="U73" s="1701"/>
      <c r="V73" s="1701"/>
      <c r="W73" s="1701"/>
      <c r="X73" s="2615">
        <f>SUM(P73:T73)</f>
        <v>737270</v>
      </c>
      <c r="Y73" s="4556"/>
    </row>
    <row r="74" spans="1:25" s="2500" customFormat="1" ht="13.5" customHeight="1">
      <c r="A74" s="4554"/>
      <c r="B74" s="512" t="s">
        <v>34</v>
      </c>
      <c r="C74" s="2605"/>
      <c r="D74" s="2646">
        <f t="shared" ref="D74:P74" si="142">+D75+D78</f>
        <v>15220421</v>
      </c>
      <c r="E74" s="2647">
        <f t="shared" si="142"/>
        <v>0</v>
      </c>
      <c r="F74" s="2647">
        <f t="shared" si="142"/>
        <v>0</v>
      </c>
      <c r="G74" s="2647">
        <f t="shared" si="142"/>
        <v>0</v>
      </c>
      <c r="H74" s="2647">
        <f t="shared" si="142"/>
        <v>0</v>
      </c>
      <c r="I74" s="2647">
        <f t="shared" si="142"/>
        <v>0</v>
      </c>
      <c r="J74" s="2648">
        <f t="shared" si="142"/>
        <v>3544011</v>
      </c>
      <c r="K74" s="2648">
        <f t="shared" si="142"/>
        <v>3801777</v>
      </c>
      <c r="L74" s="2649">
        <f t="shared" si="142"/>
        <v>5996862</v>
      </c>
      <c r="M74" s="2648">
        <f t="shared" ref="M74" si="143">+M75+M78</f>
        <v>13342650</v>
      </c>
      <c r="N74" s="2648">
        <f t="shared" si="142"/>
        <v>0</v>
      </c>
      <c r="O74" s="2741">
        <f t="shared" si="142"/>
        <v>303250</v>
      </c>
      <c r="P74" s="2741">
        <f t="shared" si="142"/>
        <v>516578</v>
      </c>
      <c r="Q74" s="2606">
        <f>+Q75+Q78</f>
        <v>1057943</v>
      </c>
      <c r="R74" s="2606"/>
      <c r="S74" s="2606"/>
      <c r="T74" s="2606"/>
      <c r="U74" s="2606"/>
      <c r="V74" s="2606"/>
      <c r="W74" s="2606"/>
      <c r="X74" s="4561" t="s">
        <v>77</v>
      </c>
      <c r="Y74" s="4556"/>
    </row>
    <row r="75" spans="1:25" s="2500" customFormat="1" ht="13.5" customHeight="1">
      <c r="A75" s="4554"/>
      <c r="B75" s="2609" t="s">
        <v>23</v>
      </c>
      <c r="C75" s="4606" t="s">
        <v>248</v>
      </c>
      <c r="D75" s="2611">
        <f>D76</f>
        <v>7209673</v>
      </c>
      <c r="E75" s="2636">
        <f t="shared" ref="E75:Q75" si="144">E76</f>
        <v>0</v>
      </c>
      <c r="F75" s="2636">
        <f t="shared" si="144"/>
        <v>0</v>
      </c>
      <c r="G75" s="2636">
        <f t="shared" si="144"/>
        <v>0</v>
      </c>
      <c r="H75" s="2636">
        <f t="shared" si="144"/>
        <v>0</v>
      </c>
      <c r="I75" s="2636">
        <f t="shared" si="144"/>
        <v>0</v>
      </c>
      <c r="J75" s="2636">
        <f t="shared" si="144"/>
        <v>0</v>
      </c>
      <c r="K75" s="2611">
        <f t="shared" si="144"/>
        <v>3801777</v>
      </c>
      <c r="L75" s="2623">
        <f t="shared" si="144"/>
        <v>2588068</v>
      </c>
      <c r="M75" s="2611">
        <f t="shared" si="144"/>
        <v>6389845</v>
      </c>
      <c r="N75" s="2611">
        <f t="shared" si="144"/>
        <v>0</v>
      </c>
      <c r="O75" s="2744">
        <f t="shared" si="144"/>
        <v>303250</v>
      </c>
      <c r="P75" s="2744">
        <f t="shared" si="144"/>
        <v>516578</v>
      </c>
      <c r="Q75" s="2611">
        <f t="shared" si="144"/>
        <v>0</v>
      </c>
      <c r="R75" s="2611"/>
      <c r="S75" s="2611"/>
      <c r="T75" s="2611"/>
      <c r="U75" s="2611"/>
      <c r="V75" s="2611"/>
      <c r="W75" s="2611"/>
      <c r="X75" s="4561"/>
      <c r="Y75" s="4556"/>
    </row>
    <row r="76" spans="1:25" s="2500" customFormat="1" ht="13.5" customHeight="1">
      <c r="A76" s="4554"/>
      <c r="B76" s="510" t="s">
        <v>28</v>
      </c>
      <c r="C76" s="4607"/>
      <c r="D76" s="2107">
        <f>M76+O76+P76+Q76+R76+S76+T76</f>
        <v>7209673</v>
      </c>
      <c r="E76" s="2635">
        <v>0</v>
      </c>
      <c r="F76" s="2635"/>
      <c r="G76" s="2635"/>
      <c r="H76" s="2635"/>
      <c r="I76" s="2633">
        <v>0</v>
      </c>
      <c r="J76" s="2633">
        <v>0</v>
      </c>
      <c r="K76" s="2613">
        <f>2852777+949000</f>
        <v>3801777</v>
      </c>
      <c r="L76" s="2614">
        <f>3556234-855353-112812-1</f>
        <v>2588068</v>
      </c>
      <c r="M76" s="2613">
        <f>E76+I76+J76+K76+L76+N76</f>
        <v>6389845</v>
      </c>
      <c r="N76" s="2613">
        <f>202176+69754+112812-384742</f>
        <v>0</v>
      </c>
      <c r="O76" s="2745">
        <f>372688-2013-67425</f>
        <v>303250</v>
      </c>
      <c r="P76" s="2745">
        <f>225798-161388+1+384742+67425</f>
        <v>516578</v>
      </c>
      <c r="Q76" s="2613"/>
      <c r="R76" s="2613"/>
      <c r="S76" s="2613"/>
      <c r="T76" s="2613"/>
      <c r="U76" s="2613"/>
      <c r="V76" s="2613"/>
      <c r="W76" s="2613"/>
      <c r="X76" s="4561"/>
      <c r="Y76" s="4556"/>
    </row>
    <row r="77" spans="1:25" s="2500" customFormat="1" ht="13.5" customHeight="1">
      <c r="A77" s="4554"/>
      <c r="B77" s="2652" t="s">
        <v>30</v>
      </c>
      <c r="C77" s="4607"/>
      <c r="D77" s="2611">
        <f>D78</f>
        <v>8010748</v>
      </c>
      <c r="E77" s="2636">
        <f t="shared" ref="E77:Q77" si="145">E78</f>
        <v>0</v>
      </c>
      <c r="F77" s="2636">
        <f t="shared" si="145"/>
        <v>0</v>
      </c>
      <c r="G77" s="2636">
        <f t="shared" si="145"/>
        <v>0</v>
      </c>
      <c r="H77" s="2636">
        <f t="shared" si="145"/>
        <v>0</v>
      </c>
      <c r="I77" s="2636">
        <f t="shared" si="145"/>
        <v>0</v>
      </c>
      <c r="J77" s="2611">
        <f t="shared" si="145"/>
        <v>3544011</v>
      </c>
      <c r="K77" s="2611">
        <f t="shared" si="145"/>
        <v>0</v>
      </c>
      <c r="L77" s="2623">
        <f t="shared" si="145"/>
        <v>3408794</v>
      </c>
      <c r="M77" s="2611">
        <f t="shared" si="145"/>
        <v>6952805</v>
      </c>
      <c r="N77" s="2611">
        <f t="shared" si="145"/>
        <v>0</v>
      </c>
      <c r="O77" s="2611">
        <f t="shared" si="145"/>
        <v>0</v>
      </c>
      <c r="P77" s="2611">
        <f t="shared" si="145"/>
        <v>0</v>
      </c>
      <c r="Q77" s="2611">
        <f t="shared" si="145"/>
        <v>1057943</v>
      </c>
      <c r="R77" s="2611"/>
      <c r="S77" s="2611"/>
      <c r="T77" s="2611"/>
      <c r="U77" s="2611"/>
      <c r="V77" s="2611"/>
      <c r="W77" s="2611"/>
      <c r="X77" s="4561"/>
      <c r="Y77" s="4556"/>
    </row>
    <row r="78" spans="1:25" s="2500" customFormat="1" ht="13.5" customHeight="1">
      <c r="A78" s="4554"/>
      <c r="B78" s="510" t="s">
        <v>32</v>
      </c>
      <c r="C78" s="4607"/>
      <c r="D78" s="2107">
        <f>M78+O78+P78+Q78+R78+S78+T78</f>
        <v>8010748</v>
      </c>
      <c r="E78" s="2635">
        <v>0</v>
      </c>
      <c r="F78" s="2635"/>
      <c r="G78" s="2635"/>
      <c r="H78" s="2635"/>
      <c r="I78" s="2633">
        <v>0</v>
      </c>
      <c r="J78" s="2613">
        <f>3204300+339711</f>
        <v>3544011</v>
      </c>
      <c r="K78" s="2613">
        <v>0</v>
      </c>
      <c r="L78" s="2613">
        <v>3408794</v>
      </c>
      <c r="M78" s="2613">
        <f>E78+I78+J78+K78+L78+N78</f>
        <v>6952805</v>
      </c>
      <c r="N78" s="2613">
        <f>2403223-2403223</f>
        <v>0</v>
      </c>
      <c r="O78" s="2614">
        <f>2063514-1005571-1057943</f>
        <v>0</v>
      </c>
      <c r="P78" s="2614">
        <v>0</v>
      </c>
      <c r="Q78" s="2614">
        <v>1057943</v>
      </c>
      <c r="R78" s="2614"/>
      <c r="S78" s="2614"/>
      <c r="T78" s="2614"/>
      <c r="U78" s="2614"/>
      <c r="V78" s="2614"/>
      <c r="W78" s="2614"/>
      <c r="X78" s="4561"/>
      <c r="Y78" s="4557"/>
    </row>
    <row r="79" spans="1:25" s="2500" customFormat="1" ht="13.5" hidden="1" customHeight="1">
      <c r="A79" s="2710"/>
      <c r="B79" s="2504" t="s">
        <v>30</v>
      </c>
      <c r="C79" s="1075"/>
      <c r="D79" s="2505">
        <f t="shared" ref="D79:N79" si="146">+D80</f>
        <v>0</v>
      </c>
      <c r="E79" s="2505">
        <f t="shared" si="146"/>
        <v>0</v>
      </c>
      <c r="F79" s="2505"/>
      <c r="G79" s="2505"/>
      <c r="H79" s="2505">
        <f t="shared" si="146"/>
        <v>0</v>
      </c>
      <c r="I79" s="2505">
        <f t="shared" si="146"/>
        <v>0</v>
      </c>
      <c r="J79" s="2505">
        <f t="shared" si="146"/>
        <v>0</v>
      </c>
      <c r="K79" s="2505">
        <f t="shared" si="146"/>
        <v>0</v>
      </c>
      <c r="L79" s="2505">
        <f t="shared" si="146"/>
        <v>0</v>
      </c>
      <c r="M79" s="2505"/>
      <c r="N79" s="2505">
        <f t="shared" si="146"/>
        <v>0</v>
      </c>
      <c r="O79" s="2506"/>
      <c r="P79" s="2505"/>
      <c r="Q79" s="2506"/>
      <c r="R79" s="2506"/>
      <c r="S79" s="2506"/>
      <c r="T79" s="2506"/>
      <c r="U79" s="2506"/>
      <c r="V79" s="2506"/>
      <c r="W79" s="2506"/>
      <c r="X79" s="2507"/>
      <c r="Y79" s="2711"/>
    </row>
    <row r="80" spans="1:25" s="2500" customFormat="1" ht="14.25" hidden="1" customHeight="1" thickBot="1">
      <c r="A80" s="2710"/>
      <c r="B80" s="2490" t="s">
        <v>26</v>
      </c>
      <c r="C80" s="1075"/>
      <c r="D80" s="1027">
        <f>+E80+I80+J80+K80+L80+N80</f>
        <v>0</v>
      </c>
      <c r="E80" s="2496"/>
      <c r="F80" s="2496"/>
      <c r="G80" s="2496"/>
      <c r="H80" s="2496"/>
      <c r="I80" s="2492"/>
      <c r="J80" s="2492"/>
      <c r="K80" s="2492"/>
      <c r="L80" s="2492"/>
      <c r="M80" s="2492"/>
      <c r="N80" s="2492"/>
      <c r="O80" s="2493"/>
      <c r="P80" s="2493"/>
      <c r="Q80" s="2493"/>
      <c r="R80" s="2493"/>
      <c r="S80" s="2493"/>
      <c r="T80" s="2493"/>
      <c r="U80" s="2493"/>
      <c r="V80" s="2493"/>
      <c r="W80" s="2493"/>
      <c r="X80" s="2508"/>
      <c r="Y80" s="2711"/>
    </row>
    <row r="81" spans="1:25" s="2500" customFormat="1" ht="40.5" customHeight="1">
      <c r="A81" s="4554" t="s">
        <v>82</v>
      </c>
      <c r="B81" s="2739" t="s">
        <v>249</v>
      </c>
      <c r="C81" s="3694" t="s">
        <v>98</v>
      </c>
      <c r="D81" s="3694"/>
      <c r="E81" s="3695"/>
      <c r="F81" s="3695"/>
      <c r="G81" s="3695"/>
      <c r="H81" s="3695"/>
      <c r="I81" s="2362"/>
      <c r="J81" s="2362"/>
      <c r="K81" s="2362"/>
      <c r="L81" s="2362"/>
      <c r="M81" s="2362"/>
      <c r="N81" s="2362"/>
      <c r="O81" s="3696"/>
      <c r="P81" s="3696"/>
      <c r="Q81" s="3696"/>
      <c r="R81" s="3696"/>
      <c r="S81" s="3696"/>
      <c r="T81" s="3696"/>
      <c r="U81" s="3696"/>
      <c r="V81" s="3696"/>
      <c r="W81" s="3696"/>
      <c r="X81" s="2361"/>
      <c r="Y81" s="4556" t="s">
        <v>247</v>
      </c>
    </row>
    <row r="82" spans="1:25" s="2500" customFormat="1" ht="14.25" customHeight="1">
      <c r="A82" s="4554"/>
      <c r="B82" s="512" t="s">
        <v>22</v>
      </c>
      <c r="C82" s="3697"/>
      <c r="D82" s="3698">
        <f t="shared" ref="D82:O82" si="147">+D83+D85</f>
        <v>19723223</v>
      </c>
      <c r="E82" s="3699">
        <f t="shared" si="147"/>
        <v>0</v>
      </c>
      <c r="F82" s="3699">
        <f t="shared" si="147"/>
        <v>0</v>
      </c>
      <c r="G82" s="3699">
        <f t="shared" si="147"/>
        <v>0</v>
      </c>
      <c r="H82" s="3699">
        <f t="shared" si="147"/>
        <v>0</v>
      </c>
      <c r="I82" s="3699">
        <f t="shared" si="147"/>
        <v>0</v>
      </c>
      <c r="J82" s="3699">
        <f t="shared" si="147"/>
        <v>0</v>
      </c>
      <c r="K82" s="3700">
        <f t="shared" si="147"/>
        <v>333872</v>
      </c>
      <c r="L82" s="2649">
        <f t="shared" si="147"/>
        <v>1328289</v>
      </c>
      <c r="M82" s="3700">
        <f t="shared" ref="M82" si="148">+M83+M85</f>
        <v>2279787</v>
      </c>
      <c r="N82" s="3700">
        <f t="shared" si="147"/>
        <v>617626</v>
      </c>
      <c r="O82" s="3701">
        <f t="shared" si="147"/>
        <v>2747420</v>
      </c>
      <c r="P82" s="3701">
        <f>+P83+P85</f>
        <v>10513020</v>
      </c>
      <c r="Q82" s="3702">
        <f>+Q83+Q85</f>
        <v>4182996</v>
      </c>
      <c r="R82" s="3702"/>
      <c r="S82" s="3702"/>
      <c r="T82" s="3702"/>
      <c r="U82" s="3702"/>
      <c r="V82" s="3702"/>
      <c r="W82" s="3702"/>
      <c r="X82" s="3703">
        <f>+X83+X85</f>
        <v>14696016</v>
      </c>
      <c r="Y82" s="4556"/>
    </row>
    <row r="83" spans="1:25" s="2500" customFormat="1" ht="14.25" customHeight="1">
      <c r="A83" s="4554"/>
      <c r="B83" s="2609" t="s">
        <v>23</v>
      </c>
      <c r="C83" s="4600" t="s">
        <v>248</v>
      </c>
      <c r="D83" s="3704">
        <f>D84</f>
        <v>9342571</v>
      </c>
      <c r="E83" s="3705">
        <f t="shared" ref="E83:N83" si="149">E84</f>
        <v>0</v>
      </c>
      <c r="F83" s="3705">
        <f t="shared" si="149"/>
        <v>0</v>
      </c>
      <c r="G83" s="3705">
        <f t="shared" si="149"/>
        <v>0</v>
      </c>
      <c r="H83" s="3705">
        <f t="shared" si="149"/>
        <v>0</v>
      </c>
      <c r="I83" s="3705">
        <f t="shared" si="149"/>
        <v>0</v>
      </c>
      <c r="J83" s="3705">
        <f t="shared" si="149"/>
        <v>0</v>
      </c>
      <c r="K83" s="3704">
        <f t="shared" si="149"/>
        <v>0</v>
      </c>
      <c r="L83" s="3706">
        <f t="shared" si="149"/>
        <v>673271</v>
      </c>
      <c r="M83" s="3704">
        <f t="shared" si="149"/>
        <v>673271</v>
      </c>
      <c r="N83" s="2365">
        <f t="shared" si="149"/>
        <v>0</v>
      </c>
      <c r="O83" s="2387">
        <f>O84</f>
        <v>0</v>
      </c>
      <c r="P83" s="2387">
        <f>P84</f>
        <v>6867815</v>
      </c>
      <c r="Q83" s="3704">
        <f>Q84</f>
        <v>1801485</v>
      </c>
      <c r="R83" s="3704"/>
      <c r="S83" s="3704"/>
      <c r="T83" s="3704"/>
      <c r="U83" s="3704"/>
      <c r="V83" s="3704"/>
      <c r="W83" s="3704"/>
      <c r="X83" s="2371">
        <f>X84</f>
        <v>8669300</v>
      </c>
      <c r="Y83" s="4556"/>
    </row>
    <row r="84" spans="1:25" s="2509" customFormat="1">
      <c r="A84" s="4554"/>
      <c r="B84" s="2653" t="s">
        <v>78</v>
      </c>
      <c r="C84" s="4601"/>
      <c r="D84" s="3707">
        <f>M84+O84+P84+Q84+R84+S84+T84</f>
        <v>9342571</v>
      </c>
      <c r="E84" s="3708">
        <v>0</v>
      </c>
      <c r="F84" s="3708"/>
      <c r="G84" s="3708"/>
      <c r="H84" s="3708"/>
      <c r="I84" s="3709">
        <v>0</v>
      </c>
      <c r="J84" s="3709">
        <v>0</v>
      </c>
      <c r="K84" s="3710">
        <v>0</v>
      </c>
      <c r="L84" s="3711">
        <f>2335159-1661887-1</f>
        <v>673271</v>
      </c>
      <c r="M84" s="3712">
        <f>E84+I84+J84+K84+L84+N84</f>
        <v>673271</v>
      </c>
      <c r="N84" s="3713">
        <f>3719572+2918400-6637972</f>
        <v>0</v>
      </c>
      <c r="O84" s="3714">
        <f>129366+6637972-6205919-561419</f>
        <v>0</v>
      </c>
      <c r="P84" s="3714">
        <f>2898095-1376691+4784992+561419</f>
        <v>6867815</v>
      </c>
      <c r="Q84" s="3710">
        <f>260379+120178+1+1420927</f>
        <v>1801485</v>
      </c>
      <c r="R84" s="3710"/>
      <c r="S84" s="3710"/>
      <c r="T84" s="3710"/>
      <c r="U84" s="3710"/>
      <c r="V84" s="3710"/>
      <c r="W84" s="3710"/>
      <c r="X84" s="3715">
        <f>SUM(P84:T84)</f>
        <v>8669300</v>
      </c>
      <c r="Y84" s="4556"/>
    </row>
    <row r="85" spans="1:25" s="2500" customFormat="1" ht="14.25" customHeight="1">
      <c r="A85" s="4554"/>
      <c r="B85" s="2618" t="s">
        <v>30</v>
      </c>
      <c r="C85" s="4601"/>
      <c r="D85" s="3716">
        <f>D86</f>
        <v>10380652</v>
      </c>
      <c r="E85" s="3717">
        <f t="shared" ref="E85:Q85" si="150">E86</f>
        <v>0</v>
      </c>
      <c r="F85" s="3717">
        <f t="shared" si="150"/>
        <v>0</v>
      </c>
      <c r="G85" s="3717">
        <f t="shared" si="150"/>
        <v>0</v>
      </c>
      <c r="H85" s="3717">
        <f t="shared" si="150"/>
        <v>0</v>
      </c>
      <c r="I85" s="3717">
        <f t="shared" si="150"/>
        <v>0</v>
      </c>
      <c r="J85" s="3717">
        <f t="shared" si="150"/>
        <v>0</v>
      </c>
      <c r="K85" s="3716">
        <f t="shared" si="150"/>
        <v>333872</v>
      </c>
      <c r="L85" s="2610">
        <f t="shared" si="150"/>
        <v>655018</v>
      </c>
      <c r="M85" s="3704">
        <f t="shared" si="150"/>
        <v>1606516</v>
      </c>
      <c r="N85" s="3164">
        <f t="shared" si="150"/>
        <v>617626</v>
      </c>
      <c r="O85" s="3182">
        <f t="shared" si="150"/>
        <v>2747420</v>
      </c>
      <c r="P85" s="3182">
        <f t="shared" si="150"/>
        <v>3645205</v>
      </c>
      <c r="Q85" s="3716">
        <f t="shared" si="150"/>
        <v>2381511</v>
      </c>
      <c r="R85" s="3716"/>
      <c r="S85" s="3716"/>
      <c r="T85" s="3716"/>
      <c r="U85" s="3716"/>
      <c r="V85" s="3716"/>
      <c r="W85" s="3716"/>
      <c r="X85" s="2371">
        <f>X86</f>
        <v>6026716</v>
      </c>
      <c r="Y85" s="4556"/>
    </row>
    <row r="86" spans="1:25" s="2500" customFormat="1">
      <c r="A86" s="4554"/>
      <c r="B86" s="510" t="s">
        <v>32</v>
      </c>
      <c r="C86" s="4601"/>
      <c r="D86" s="3707">
        <f>M86+O86+P86+Q86+R86+S86+T86</f>
        <v>10380652</v>
      </c>
      <c r="E86" s="3717">
        <v>0</v>
      </c>
      <c r="F86" s="3717"/>
      <c r="G86" s="3717"/>
      <c r="H86" s="3717"/>
      <c r="I86" s="3705">
        <v>0</v>
      </c>
      <c r="J86" s="3718">
        <v>0</v>
      </c>
      <c r="K86" s="2368">
        <f>398692-64820</f>
        <v>333872</v>
      </c>
      <c r="L86" s="3719">
        <f>813168-153168-4982</f>
        <v>655018</v>
      </c>
      <c r="M86" s="3712">
        <f>E86+I86+J86+K86+L86+N86</f>
        <v>1606516</v>
      </c>
      <c r="N86" s="2370">
        <f>5432672+64820-1752137-3127729</f>
        <v>617626</v>
      </c>
      <c r="O86" s="3720">
        <f>411879+1905305+3127729-2646073-51420</f>
        <v>2747420</v>
      </c>
      <c r="P86" s="3720">
        <f>3185084+408701+51420</f>
        <v>3645205</v>
      </c>
      <c r="Q86" s="3719">
        <f>139157+4982+2237372</f>
        <v>2381511</v>
      </c>
      <c r="R86" s="3719"/>
      <c r="S86" s="3719"/>
      <c r="T86" s="3719"/>
      <c r="U86" s="3719"/>
      <c r="V86" s="3719"/>
      <c r="W86" s="3719"/>
      <c r="X86" s="3715">
        <f>SUM(P86:T86)</f>
        <v>6026716</v>
      </c>
      <c r="Y86" s="4556"/>
    </row>
    <row r="87" spans="1:25" s="2510" customFormat="1" ht="14.25" customHeight="1">
      <c r="A87" s="4554"/>
      <c r="B87" s="512" t="s">
        <v>34</v>
      </c>
      <c r="C87" s="3697"/>
      <c r="D87" s="3721">
        <f t="shared" ref="D87:P87" si="151">+D88+D91</f>
        <v>19723223</v>
      </c>
      <c r="E87" s="3722">
        <f t="shared" si="151"/>
        <v>0</v>
      </c>
      <c r="F87" s="3722">
        <f t="shared" si="151"/>
        <v>0</v>
      </c>
      <c r="G87" s="3722">
        <f t="shared" si="151"/>
        <v>0</v>
      </c>
      <c r="H87" s="3722">
        <f t="shared" si="151"/>
        <v>0</v>
      </c>
      <c r="I87" s="3722">
        <f t="shared" si="151"/>
        <v>0</v>
      </c>
      <c r="J87" s="3722">
        <f t="shared" si="151"/>
        <v>0</v>
      </c>
      <c r="K87" s="3702">
        <f t="shared" si="151"/>
        <v>4405356</v>
      </c>
      <c r="L87" s="2607">
        <f t="shared" si="151"/>
        <v>673271</v>
      </c>
      <c r="M87" s="3702">
        <f t="shared" ref="M87" si="152">+M88+M91</f>
        <v>5078627</v>
      </c>
      <c r="N87" s="3702">
        <f t="shared" si="151"/>
        <v>0</v>
      </c>
      <c r="O87" s="2917">
        <f t="shared" si="151"/>
        <v>0</v>
      </c>
      <c r="P87" s="2917">
        <f t="shared" si="151"/>
        <v>9370656</v>
      </c>
      <c r="Q87" s="3702">
        <f>+Q88+Q91</f>
        <v>0</v>
      </c>
      <c r="R87" s="3702">
        <f>+R88+R91</f>
        <v>5273940</v>
      </c>
      <c r="S87" s="3702"/>
      <c r="T87" s="3702"/>
      <c r="U87" s="3702"/>
      <c r="V87" s="3702"/>
      <c r="W87" s="3702"/>
      <c r="X87" s="4603" t="s">
        <v>77</v>
      </c>
      <c r="Y87" s="4556"/>
    </row>
    <row r="88" spans="1:25" s="2500" customFormat="1" ht="14.25" customHeight="1">
      <c r="A88" s="4554"/>
      <c r="B88" s="2609" t="s">
        <v>23</v>
      </c>
      <c r="C88" s="4600" t="s">
        <v>248</v>
      </c>
      <c r="D88" s="3704">
        <f>D89</f>
        <v>9342571</v>
      </c>
      <c r="E88" s="3705">
        <f t="shared" ref="E88:R88" si="153">E89</f>
        <v>0</v>
      </c>
      <c r="F88" s="3705">
        <f t="shared" si="153"/>
        <v>0</v>
      </c>
      <c r="G88" s="3705">
        <f t="shared" si="153"/>
        <v>0</v>
      </c>
      <c r="H88" s="3705">
        <f t="shared" si="153"/>
        <v>0</v>
      </c>
      <c r="I88" s="3705">
        <f t="shared" si="153"/>
        <v>0</v>
      </c>
      <c r="J88" s="3705">
        <f t="shared" si="153"/>
        <v>0</v>
      </c>
      <c r="K88" s="3704">
        <f t="shared" si="153"/>
        <v>0</v>
      </c>
      <c r="L88" s="3706">
        <f t="shared" si="153"/>
        <v>673271</v>
      </c>
      <c r="M88" s="3704">
        <f t="shared" si="153"/>
        <v>673271</v>
      </c>
      <c r="N88" s="2365">
        <f t="shared" si="153"/>
        <v>0</v>
      </c>
      <c r="O88" s="2914">
        <f t="shared" si="153"/>
        <v>0</v>
      </c>
      <c r="P88" s="2914">
        <f t="shared" si="153"/>
        <v>4965300</v>
      </c>
      <c r="Q88" s="3704">
        <f t="shared" si="153"/>
        <v>0</v>
      </c>
      <c r="R88" s="3704">
        <f t="shared" si="153"/>
        <v>3704000</v>
      </c>
      <c r="S88" s="3704"/>
      <c r="T88" s="3704"/>
      <c r="U88" s="3704"/>
      <c r="V88" s="3704"/>
      <c r="W88" s="3704"/>
      <c r="X88" s="4603"/>
      <c r="Y88" s="4556"/>
    </row>
    <row r="89" spans="1:25" s="2500" customFormat="1" ht="12.75" customHeight="1">
      <c r="A89" s="4554"/>
      <c r="B89" s="510" t="s">
        <v>28</v>
      </c>
      <c r="C89" s="4601"/>
      <c r="D89" s="3707">
        <f>M89+O89+P89+Q89+R89+S89+T89</f>
        <v>9342571</v>
      </c>
      <c r="E89" s="3708">
        <v>0</v>
      </c>
      <c r="F89" s="3708"/>
      <c r="G89" s="3708"/>
      <c r="H89" s="3708"/>
      <c r="I89" s="3709">
        <v>0</v>
      </c>
      <c r="J89" s="3709">
        <v>0</v>
      </c>
      <c r="K89" s="3710">
        <v>0</v>
      </c>
      <c r="L89" s="3711">
        <f>2335159-1661887-1</f>
        <v>673271</v>
      </c>
      <c r="M89" s="3712">
        <f>E89+I89+J89+K89+L89+N89</f>
        <v>673271</v>
      </c>
      <c r="N89" s="3713">
        <f>3719572+2918400-6637972</f>
        <v>0</v>
      </c>
      <c r="O89" s="3723">
        <f>129366+6637972-6205919-561419</f>
        <v>0</v>
      </c>
      <c r="P89" s="3723">
        <f>2898095-1376691+2882477+561419</f>
        <v>4965300</v>
      </c>
      <c r="Q89" s="3710">
        <f>260379+120178+1-380558</f>
        <v>0</v>
      </c>
      <c r="R89" s="3710">
        <v>3704000</v>
      </c>
      <c r="S89" s="3710"/>
      <c r="T89" s="3710"/>
      <c r="U89" s="3710"/>
      <c r="V89" s="3710"/>
      <c r="W89" s="3710"/>
      <c r="X89" s="4603"/>
      <c r="Y89" s="4556"/>
    </row>
    <row r="90" spans="1:25" s="2500" customFormat="1" ht="14.25" customHeight="1">
      <c r="A90" s="4554"/>
      <c r="B90" s="2618" t="s">
        <v>30</v>
      </c>
      <c r="C90" s="4601"/>
      <c r="D90" s="3704">
        <f>D91</f>
        <v>10380652</v>
      </c>
      <c r="E90" s="3705">
        <f t="shared" ref="E90:R90" si="154">E91</f>
        <v>0</v>
      </c>
      <c r="F90" s="3705">
        <f t="shared" si="154"/>
        <v>0</v>
      </c>
      <c r="G90" s="3705">
        <f t="shared" si="154"/>
        <v>0</v>
      </c>
      <c r="H90" s="3705">
        <f t="shared" si="154"/>
        <v>0</v>
      </c>
      <c r="I90" s="3705">
        <f t="shared" si="154"/>
        <v>0</v>
      </c>
      <c r="J90" s="3705">
        <f t="shared" si="154"/>
        <v>0</v>
      </c>
      <c r="K90" s="3704">
        <f t="shared" si="154"/>
        <v>4405356</v>
      </c>
      <c r="L90" s="3706">
        <f t="shared" si="154"/>
        <v>0</v>
      </c>
      <c r="M90" s="3704">
        <f t="shared" si="154"/>
        <v>4405356</v>
      </c>
      <c r="N90" s="2365">
        <f t="shared" si="154"/>
        <v>0</v>
      </c>
      <c r="O90" s="2914">
        <f t="shared" si="154"/>
        <v>0</v>
      </c>
      <c r="P90" s="2914">
        <f t="shared" si="154"/>
        <v>4405356</v>
      </c>
      <c r="Q90" s="3704">
        <f t="shared" si="154"/>
        <v>0</v>
      </c>
      <c r="R90" s="3704">
        <f t="shared" si="154"/>
        <v>1569940</v>
      </c>
      <c r="S90" s="3704"/>
      <c r="T90" s="3704"/>
      <c r="U90" s="3704"/>
      <c r="V90" s="3704"/>
      <c r="W90" s="3704"/>
      <c r="X90" s="4603"/>
      <c r="Y90" s="4556"/>
    </row>
    <row r="91" spans="1:25" s="2500" customFormat="1" ht="12.75" thickBot="1">
      <c r="A91" s="4598"/>
      <c r="B91" s="519" t="s">
        <v>32</v>
      </c>
      <c r="C91" s="4602"/>
      <c r="D91" s="3724">
        <f>M91+O91+P91+Q91+R91+S91+T91</f>
        <v>10380652</v>
      </c>
      <c r="E91" s="3725">
        <v>0</v>
      </c>
      <c r="F91" s="3725"/>
      <c r="G91" s="3725"/>
      <c r="H91" s="3725"/>
      <c r="I91" s="3726">
        <v>0</v>
      </c>
      <c r="J91" s="3726">
        <v>0</v>
      </c>
      <c r="K91" s="3727">
        <v>4405356</v>
      </c>
      <c r="L91" s="3727">
        <v>0</v>
      </c>
      <c r="M91" s="3727">
        <f>E91+I91+J91+K91+L91+N91</f>
        <v>4405356</v>
      </c>
      <c r="N91" s="3728">
        <f>4152261-4152261</f>
        <v>0</v>
      </c>
      <c r="O91" s="3729">
        <f>4152261-4152261</f>
        <v>0</v>
      </c>
      <c r="P91" s="3729">
        <f>1823035+2582321</f>
        <v>4405356</v>
      </c>
      <c r="Q91" s="3730">
        <v>0</v>
      </c>
      <c r="R91" s="3730">
        <v>1569940</v>
      </c>
      <c r="S91" s="3730"/>
      <c r="T91" s="3730"/>
      <c r="U91" s="3730"/>
      <c r="V91" s="3730"/>
      <c r="W91" s="3730"/>
      <c r="X91" s="4604"/>
      <c r="Y91" s="4599"/>
    </row>
    <row r="92" spans="1:25" s="2513" customFormat="1" ht="37.5" customHeight="1">
      <c r="A92" s="4554" t="s">
        <v>83</v>
      </c>
      <c r="B92" s="3689" t="s">
        <v>250</v>
      </c>
      <c r="C92" s="3690" t="s">
        <v>98</v>
      </c>
      <c r="D92" s="3690"/>
      <c r="E92" s="3691"/>
      <c r="F92" s="3691"/>
      <c r="G92" s="3691"/>
      <c r="H92" s="3691"/>
      <c r="I92" s="3692"/>
      <c r="J92" s="3692"/>
      <c r="K92" s="3692"/>
      <c r="L92" s="3692"/>
      <c r="M92" s="3692"/>
      <c r="N92" s="3692"/>
      <c r="O92" s="530"/>
      <c r="P92" s="530"/>
      <c r="Q92" s="530"/>
      <c r="R92" s="530"/>
      <c r="S92" s="530"/>
      <c r="T92" s="530"/>
      <c r="U92" s="530"/>
      <c r="V92" s="530"/>
      <c r="W92" s="530"/>
      <c r="X92" s="3693"/>
      <c r="Y92" s="4556" t="s">
        <v>247</v>
      </c>
    </row>
    <row r="93" spans="1:25" s="1251" customFormat="1" ht="13.5" customHeight="1">
      <c r="A93" s="4554"/>
      <c r="B93" s="512" t="s">
        <v>22</v>
      </c>
      <c r="C93" s="2605"/>
      <c r="D93" s="2646">
        <f>+D94+D96</f>
        <v>152411078</v>
      </c>
      <c r="E93" s="2648">
        <f>+E94+E96</f>
        <v>14449815</v>
      </c>
      <c r="F93" s="2648"/>
      <c r="G93" s="2648"/>
      <c r="H93" s="2648">
        <f t="shared" ref="H93:O93" si="155">+H94+H96</f>
        <v>14449815</v>
      </c>
      <c r="I93" s="2648">
        <f t="shared" si="155"/>
        <v>24266433</v>
      </c>
      <c r="J93" s="2648">
        <f t="shared" si="155"/>
        <v>30228987</v>
      </c>
      <c r="K93" s="2648">
        <f t="shared" si="155"/>
        <v>29669758</v>
      </c>
      <c r="L93" s="2649">
        <f t="shared" si="155"/>
        <v>21917175</v>
      </c>
      <c r="M93" s="2648">
        <f t="shared" ref="M93" si="156">+M94+M96</f>
        <v>142515497</v>
      </c>
      <c r="N93" s="2648">
        <f t="shared" si="155"/>
        <v>21983329</v>
      </c>
      <c r="O93" s="2606">
        <f t="shared" si="155"/>
        <v>9895581</v>
      </c>
      <c r="P93" s="2606"/>
      <c r="Q93" s="2606"/>
      <c r="R93" s="2606"/>
      <c r="S93" s="2606"/>
      <c r="T93" s="2606"/>
      <c r="U93" s="2606"/>
      <c r="V93" s="2606"/>
      <c r="W93" s="2606"/>
      <c r="X93" s="2608">
        <f>+X94+X96</f>
        <v>0</v>
      </c>
      <c r="Y93" s="4556"/>
    </row>
    <row r="94" spans="1:25" s="1251" customFormat="1" ht="13.5" customHeight="1">
      <c r="A94" s="4554"/>
      <c r="B94" s="2609" t="s">
        <v>23</v>
      </c>
      <c r="C94" s="4596" t="s">
        <v>248</v>
      </c>
      <c r="D94" s="1695">
        <f>+D95</f>
        <v>57839655</v>
      </c>
      <c r="E94" s="1695">
        <f>+E95</f>
        <v>5317203</v>
      </c>
      <c r="F94" s="1695"/>
      <c r="G94" s="1695"/>
      <c r="H94" s="1695">
        <f>+H95</f>
        <v>5317203</v>
      </c>
      <c r="I94" s="1694">
        <f t="shared" ref="I94:X94" si="157">SUM(I95:I95)</f>
        <v>9348544</v>
      </c>
      <c r="J94" s="1694">
        <f t="shared" si="157"/>
        <v>11796678</v>
      </c>
      <c r="K94" s="1694">
        <f t="shared" si="157"/>
        <v>11493755</v>
      </c>
      <c r="L94" s="1694">
        <f t="shared" si="157"/>
        <v>8089317</v>
      </c>
      <c r="M94" s="1694">
        <f t="shared" si="157"/>
        <v>54249335</v>
      </c>
      <c r="N94" s="1694">
        <f t="shared" si="157"/>
        <v>8203838</v>
      </c>
      <c r="O94" s="2611">
        <f t="shared" si="157"/>
        <v>3590320</v>
      </c>
      <c r="P94" s="2611"/>
      <c r="Q94" s="2611"/>
      <c r="R94" s="2611"/>
      <c r="S94" s="2611"/>
      <c r="T94" s="2611"/>
      <c r="U94" s="2611"/>
      <c r="V94" s="2611"/>
      <c r="W94" s="2611"/>
      <c r="X94" s="2612">
        <f t="shared" si="157"/>
        <v>0</v>
      </c>
      <c r="Y94" s="4556"/>
    </row>
    <row r="95" spans="1:25" s="2513" customFormat="1">
      <c r="A95" s="4554"/>
      <c r="B95" s="510" t="s">
        <v>26</v>
      </c>
      <c r="C95" s="4596"/>
      <c r="D95" s="2107">
        <f>M95+O95+P95+Q95+R95+S95+T95</f>
        <v>57839655</v>
      </c>
      <c r="E95" s="2655">
        <v>5317203</v>
      </c>
      <c r="F95" s="2655"/>
      <c r="G95" s="2655"/>
      <c r="H95" s="2655">
        <v>5317203</v>
      </c>
      <c r="I95" s="2654">
        <f>9351074-2530</f>
        <v>9348544</v>
      </c>
      <c r="J95" s="2654">
        <f>8669000+3127751-73</f>
        <v>11796678</v>
      </c>
      <c r="K95" s="2654">
        <f>14447000+2530-2742530-213207-38</f>
        <v>11493755</v>
      </c>
      <c r="L95" s="2654">
        <f>3268000+3284000+1575827-71690+33180</f>
        <v>8089317</v>
      </c>
      <c r="M95" s="2613">
        <f>E95+I95+J95+K95+L95+N95</f>
        <v>54249335</v>
      </c>
      <c r="N95" s="2654">
        <f>5879951+213207+38+7511963-1575827-5328332+1267000+235838</f>
        <v>8203838</v>
      </c>
      <c r="O95" s="2613">
        <f>5328332+71690-33180+789158-2565680</f>
        <v>3590320</v>
      </c>
      <c r="P95" s="2613"/>
      <c r="Q95" s="2613"/>
      <c r="R95" s="2613"/>
      <c r="S95" s="2613"/>
      <c r="T95" s="2613"/>
      <c r="U95" s="2613"/>
      <c r="V95" s="2613"/>
      <c r="W95" s="2613"/>
      <c r="X95" s="2615">
        <f>SUM(P95:T95)</f>
        <v>0</v>
      </c>
      <c r="Y95" s="4556"/>
    </row>
    <row r="96" spans="1:25" s="2513" customFormat="1" ht="13.5" customHeight="1">
      <c r="A96" s="4554"/>
      <c r="B96" s="2618" t="s">
        <v>30</v>
      </c>
      <c r="C96" s="4596"/>
      <c r="D96" s="1695">
        <f t="shared" ref="D96" si="158">+D97+D98</f>
        <v>94571423</v>
      </c>
      <c r="E96" s="2619">
        <f>+E97+E98</f>
        <v>9132612</v>
      </c>
      <c r="F96" s="2619">
        <f t="shared" ref="F96:O96" si="159">+F97+F98</f>
        <v>0</v>
      </c>
      <c r="G96" s="2619">
        <f t="shared" si="159"/>
        <v>0</v>
      </c>
      <c r="H96" s="2619">
        <f t="shared" si="159"/>
        <v>9132612</v>
      </c>
      <c r="I96" s="2619">
        <f t="shared" si="159"/>
        <v>14917889</v>
      </c>
      <c r="J96" s="2619">
        <f t="shared" si="159"/>
        <v>18432309</v>
      </c>
      <c r="K96" s="2619">
        <f t="shared" si="159"/>
        <v>18176003</v>
      </c>
      <c r="L96" s="2619">
        <f t="shared" si="159"/>
        <v>13827858</v>
      </c>
      <c r="M96" s="2619">
        <f t="shared" si="159"/>
        <v>88266162</v>
      </c>
      <c r="N96" s="2619">
        <f t="shared" si="159"/>
        <v>13779491</v>
      </c>
      <c r="O96" s="2619">
        <f t="shared" si="159"/>
        <v>6305261</v>
      </c>
      <c r="P96" s="2611"/>
      <c r="Q96" s="2611"/>
      <c r="R96" s="2611"/>
      <c r="S96" s="2611"/>
      <c r="T96" s="2611"/>
      <c r="U96" s="2611"/>
      <c r="V96" s="2611"/>
      <c r="W96" s="2611"/>
      <c r="X96" s="2612">
        <f t="shared" ref="X96" si="160">+X97</f>
        <v>0</v>
      </c>
      <c r="Y96" s="4556"/>
    </row>
    <row r="97" spans="1:29" s="2513" customFormat="1" ht="13.5" customHeight="1">
      <c r="A97" s="4554"/>
      <c r="B97" s="510" t="s">
        <v>33</v>
      </c>
      <c r="C97" s="4596"/>
      <c r="D97" s="2107">
        <f>M97+O97+P97+Q97+R97+S97+T97</f>
        <v>70520922</v>
      </c>
      <c r="E97" s="2617"/>
      <c r="F97" s="2617"/>
      <c r="G97" s="2617"/>
      <c r="H97" s="2617">
        <v>9132612</v>
      </c>
      <c r="I97" s="2613"/>
      <c r="J97" s="2613">
        <f>13832000+4600351-42</f>
        <v>18432309</v>
      </c>
      <c r="K97" s="2613">
        <f>23054000+4037-4765037-116976-21</f>
        <v>18176003</v>
      </c>
      <c r="L97" s="2654">
        <f>10927000+2643757+257101</f>
        <v>13827858</v>
      </c>
      <c r="M97" s="2613">
        <f>E97+I97+J97+K97+L97+N97</f>
        <v>64215661</v>
      </c>
      <c r="N97" s="2654">
        <f>8497851+116976+21+16120330-2643757-11327421+2338310+677181</f>
        <v>13779491</v>
      </c>
      <c r="O97" s="2613">
        <f>11327421-257101-197320-4567739</f>
        <v>6305261</v>
      </c>
      <c r="P97" s="2613"/>
      <c r="Q97" s="2613"/>
      <c r="R97" s="2613"/>
      <c r="S97" s="2613"/>
      <c r="T97" s="2613"/>
      <c r="U97" s="2613"/>
      <c r="V97" s="2613"/>
      <c r="W97" s="2613"/>
      <c r="X97" s="2615">
        <f>SUM(P97:T97)</f>
        <v>0</v>
      </c>
      <c r="Y97" s="4556"/>
    </row>
    <row r="98" spans="1:29" s="2513" customFormat="1" ht="12" customHeight="1">
      <c r="A98" s="4554"/>
      <c r="B98" s="510" t="s">
        <v>26</v>
      </c>
      <c r="C98" s="4596"/>
      <c r="D98" s="2107">
        <f>M98+O98+P98+Q98+R98+S98+T98</f>
        <v>24050501</v>
      </c>
      <c r="E98" s="2617">
        <v>9132612</v>
      </c>
      <c r="F98" s="2617"/>
      <c r="G98" s="2617"/>
      <c r="H98" s="2617"/>
      <c r="I98" s="2613">
        <f>14921926-4037</f>
        <v>14917889</v>
      </c>
      <c r="J98" s="2633">
        <v>0</v>
      </c>
      <c r="K98" s="2633">
        <v>0</v>
      </c>
      <c r="L98" s="2656">
        <v>0</v>
      </c>
      <c r="M98" s="2613">
        <f>E98+I98+J98+K98+L98+N98</f>
        <v>24050501</v>
      </c>
      <c r="N98" s="2657">
        <v>0</v>
      </c>
      <c r="O98" s="2633">
        <v>0</v>
      </c>
      <c r="P98" s="2613"/>
      <c r="Q98" s="2613"/>
      <c r="R98" s="2613"/>
      <c r="S98" s="2613"/>
      <c r="T98" s="2613"/>
      <c r="U98" s="2613"/>
      <c r="V98" s="2613"/>
      <c r="W98" s="2613"/>
      <c r="X98" s="2615">
        <f>SUM(P98:T98)</f>
        <v>0</v>
      </c>
      <c r="Y98" s="4556"/>
    </row>
    <row r="99" spans="1:29" s="2513" customFormat="1" ht="13.5" customHeight="1">
      <c r="A99" s="4554"/>
      <c r="B99" s="512" t="s">
        <v>34</v>
      </c>
      <c r="C99" s="2605"/>
      <c r="D99" s="2648">
        <f>+D100+D102</f>
        <v>152411078</v>
      </c>
      <c r="E99" s="2606">
        <f>+E100+E102</f>
        <v>14449815</v>
      </c>
      <c r="F99" s="2606"/>
      <c r="G99" s="2606"/>
      <c r="H99" s="2606">
        <f t="shared" ref="H99:O99" si="161">+H100+H102</f>
        <v>14449815</v>
      </c>
      <c r="I99" s="2606">
        <f t="shared" si="161"/>
        <v>24266433</v>
      </c>
      <c r="J99" s="2606">
        <f t="shared" si="161"/>
        <v>30228987</v>
      </c>
      <c r="K99" s="2606">
        <f t="shared" si="161"/>
        <v>29669758</v>
      </c>
      <c r="L99" s="2649">
        <f t="shared" si="161"/>
        <v>21917175</v>
      </c>
      <c r="M99" s="2648">
        <f t="shared" ref="M99" si="162">+M100+M102</f>
        <v>142515497</v>
      </c>
      <c r="N99" s="2648">
        <f t="shared" si="161"/>
        <v>21983329</v>
      </c>
      <c r="O99" s="2606">
        <f t="shared" si="161"/>
        <v>9895581</v>
      </c>
      <c r="P99" s="2606"/>
      <c r="Q99" s="2606"/>
      <c r="R99" s="2606"/>
      <c r="S99" s="2606"/>
      <c r="T99" s="2606"/>
      <c r="U99" s="2606"/>
      <c r="V99" s="2606"/>
      <c r="W99" s="2606"/>
      <c r="X99" s="4597" t="s">
        <v>77</v>
      </c>
      <c r="Y99" s="4556"/>
      <c r="Z99" s="2514"/>
    </row>
    <row r="100" spans="1:29" s="2500" customFormat="1" ht="14.25" customHeight="1">
      <c r="A100" s="4554"/>
      <c r="B100" s="2609" t="s">
        <v>23</v>
      </c>
      <c r="C100" s="4596" t="s">
        <v>248</v>
      </c>
      <c r="D100" s="1694">
        <f>+D101</f>
        <v>57839655</v>
      </c>
      <c r="E100" s="2619">
        <f>+E101</f>
        <v>5317203</v>
      </c>
      <c r="F100" s="2619"/>
      <c r="G100" s="2619"/>
      <c r="H100" s="2619">
        <f>+H101</f>
        <v>5317203</v>
      </c>
      <c r="I100" s="2611">
        <f t="shared" ref="I100:O100" si="163">SUM(I101:I101)</f>
        <v>9348544</v>
      </c>
      <c r="J100" s="2611">
        <f t="shared" si="163"/>
        <v>11796678</v>
      </c>
      <c r="K100" s="2611">
        <f t="shared" si="163"/>
        <v>11493755</v>
      </c>
      <c r="L100" s="1694">
        <f t="shared" si="163"/>
        <v>8089317</v>
      </c>
      <c r="M100" s="1694">
        <f t="shared" si="163"/>
        <v>54249335</v>
      </c>
      <c r="N100" s="1694">
        <f t="shared" si="163"/>
        <v>8203838</v>
      </c>
      <c r="O100" s="2611">
        <f t="shared" si="163"/>
        <v>3590320</v>
      </c>
      <c r="P100" s="2611"/>
      <c r="Q100" s="2611"/>
      <c r="R100" s="2611"/>
      <c r="S100" s="2611"/>
      <c r="T100" s="2611"/>
      <c r="U100" s="2611"/>
      <c r="V100" s="2611"/>
      <c r="W100" s="2611"/>
      <c r="X100" s="4597"/>
      <c r="Y100" s="4556"/>
      <c r="Z100" s="2514"/>
    </row>
    <row r="101" spans="1:29" s="2500" customFormat="1">
      <c r="A101" s="4554"/>
      <c r="B101" s="510" t="s">
        <v>26</v>
      </c>
      <c r="C101" s="4596"/>
      <c r="D101" s="2107">
        <f>M101+O101+P101+Q101+R101+S101+T101</f>
        <v>57839655</v>
      </c>
      <c r="E101" s="2617">
        <v>5317203</v>
      </c>
      <c r="F101" s="2617"/>
      <c r="G101" s="2617"/>
      <c r="H101" s="2617">
        <v>5317203</v>
      </c>
      <c r="I101" s="2613">
        <f>9351074-2530</f>
        <v>9348544</v>
      </c>
      <c r="J101" s="2613">
        <f>8669000+3127751-73</f>
        <v>11796678</v>
      </c>
      <c r="K101" s="2613">
        <f>14447000+2530-2742530-213207-38</f>
        <v>11493755</v>
      </c>
      <c r="L101" s="2654">
        <f>3268000+3284000+1575827-71690+33180</f>
        <v>8089317</v>
      </c>
      <c r="M101" s="2613">
        <f>E101+I101+J101+K101+L101+N101</f>
        <v>54249335</v>
      </c>
      <c r="N101" s="2654">
        <f>5879951+213207+38+7511963-1575827-5328332+1267000+235838</f>
        <v>8203838</v>
      </c>
      <c r="O101" s="2613">
        <f>5328332+71690-33180+789158-2565680</f>
        <v>3590320</v>
      </c>
      <c r="P101" s="2613"/>
      <c r="Q101" s="2613"/>
      <c r="R101" s="2613"/>
      <c r="S101" s="2613"/>
      <c r="T101" s="2613"/>
      <c r="U101" s="2613"/>
      <c r="V101" s="2613"/>
      <c r="W101" s="2613"/>
      <c r="X101" s="4597"/>
      <c r="Y101" s="4556"/>
      <c r="Z101" s="2514"/>
    </row>
    <row r="102" spans="1:29" s="2500" customFormat="1" ht="12.75" customHeight="1">
      <c r="A102" s="4554"/>
      <c r="B102" s="2618" t="s">
        <v>30</v>
      </c>
      <c r="C102" s="4596"/>
      <c r="D102" s="1694">
        <f t="shared" ref="D102:O102" si="164">+D103+D104</f>
        <v>94571423</v>
      </c>
      <c r="E102" s="2611">
        <f t="shared" si="164"/>
        <v>9132612</v>
      </c>
      <c r="F102" s="2611">
        <f t="shared" si="164"/>
        <v>0</v>
      </c>
      <c r="G102" s="2611">
        <f t="shared" si="164"/>
        <v>0</v>
      </c>
      <c r="H102" s="2611">
        <f t="shared" si="164"/>
        <v>9132612</v>
      </c>
      <c r="I102" s="2611">
        <f t="shared" si="164"/>
        <v>14917889</v>
      </c>
      <c r="J102" s="2611">
        <f t="shared" si="164"/>
        <v>18432309</v>
      </c>
      <c r="K102" s="2611">
        <f t="shared" si="164"/>
        <v>18176003</v>
      </c>
      <c r="L102" s="2611">
        <f t="shared" si="164"/>
        <v>13827858</v>
      </c>
      <c r="M102" s="2611">
        <f t="shared" si="164"/>
        <v>88266162</v>
      </c>
      <c r="N102" s="2611">
        <f t="shared" si="164"/>
        <v>13779491</v>
      </c>
      <c r="O102" s="2611">
        <f t="shared" si="164"/>
        <v>6305261</v>
      </c>
      <c r="P102" s="2611"/>
      <c r="Q102" s="2611"/>
      <c r="R102" s="2611"/>
      <c r="S102" s="2611"/>
      <c r="T102" s="2611"/>
      <c r="U102" s="2611"/>
      <c r="V102" s="2611"/>
      <c r="W102" s="2611"/>
      <c r="X102" s="4597"/>
      <c r="Y102" s="4556"/>
      <c r="Z102" s="2514"/>
    </row>
    <row r="103" spans="1:29" s="2500" customFormat="1" ht="12.75" customHeight="1">
      <c r="A103" s="4554"/>
      <c r="B103" s="2616" t="s">
        <v>33</v>
      </c>
      <c r="C103" s="4596"/>
      <c r="D103" s="2107">
        <f t="shared" ref="D103:D104" si="165">M103+O103+P103+Q103+R103+S103+T103</f>
        <v>70520922</v>
      </c>
      <c r="E103" s="2617"/>
      <c r="F103" s="2617"/>
      <c r="G103" s="2617"/>
      <c r="H103" s="2617">
        <v>9132612</v>
      </c>
      <c r="I103" s="2613"/>
      <c r="J103" s="2613">
        <f>13832000+4600351-42</f>
        <v>18432309</v>
      </c>
      <c r="K103" s="2613">
        <f>23054000+4037-4765037-116976-21</f>
        <v>18176003</v>
      </c>
      <c r="L103" s="2654">
        <f>10927000+2643757+257101</f>
        <v>13827858</v>
      </c>
      <c r="M103" s="2613">
        <f>E103+I103+J103+K103+L103+N103</f>
        <v>64215661</v>
      </c>
      <c r="N103" s="2654">
        <f>8497851+116976+21+16120330-2643757-11327421+2338310+677181</f>
        <v>13779491</v>
      </c>
      <c r="O103" s="2613">
        <f>11327421-257101-197320-4567739</f>
        <v>6305261</v>
      </c>
      <c r="P103" s="2613"/>
      <c r="Q103" s="2613"/>
      <c r="R103" s="2613"/>
      <c r="S103" s="2613"/>
      <c r="T103" s="2613"/>
      <c r="U103" s="2613"/>
      <c r="V103" s="2613"/>
      <c r="W103" s="2613"/>
      <c r="X103" s="4597"/>
      <c r="Y103" s="4556"/>
      <c r="Z103" s="2514"/>
    </row>
    <row r="104" spans="1:29" s="2500" customFormat="1" ht="12.75" customHeight="1">
      <c r="A104" s="4554"/>
      <c r="B104" s="510" t="s">
        <v>26</v>
      </c>
      <c r="C104" s="4596"/>
      <c r="D104" s="2107">
        <f t="shared" si="165"/>
        <v>24050501</v>
      </c>
      <c r="E104" s="2617">
        <v>9132612</v>
      </c>
      <c r="F104" s="2617"/>
      <c r="G104" s="2617"/>
      <c r="H104" s="2617"/>
      <c r="I104" s="2613">
        <f>14921926-4037</f>
        <v>14917889</v>
      </c>
      <c r="J104" s="2633">
        <v>0</v>
      </c>
      <c r="K104" s="2633">
        <v>0</v>
      </c>
      <c r="L104" s="2633">
        <v>0</v>
      </c>
      <c r="M104" s="2613">
        <f>E104+I104+J104+K104+L104+N104</f>
        <v>24050501</v>
      </c>
      <c r="N104" s="2633">
        <v>0</v>
      </c>
      <c r="O104" s="2642">
        <v>0</v>
      </c>
      <c r="P104" s="2614"/>
      <c r="Q104" s="2614"/>
      <c r="R104" s="2614"/>
      <c r="S104" s="2614"/>
      <c r="T104" s="2614"/>
      <c r="U104" s="2614"/>
      <c r="V104" s="2614"/>
      <c r="W104" s="2614"/>
      <c r="X104" s="4597"/>
      <c r="Y104" s="4557"/>
      <c r="Z104" s="2514"/>
    </row>
    <row r="105" spans="1:29" ht="15" customHeight="1">
      <c r="A105" s="4585" t="s">
        <v>140</v>
      </c>
      <c r="B105" s="2739" t="s">
        <v>251</v>
      </c>
      <c r="C105" s="3732" t="s">
        <v>131</v>
      </c>
      <c r="D105" s="3732"/>
      <c r="E105" s="3733"/>
      <c r="F105" s="3733"/>
      <c r="G105" s="3733"/>
      <c r="H105" s="3733"/>
      <c r="I105" s="2385"/>
      <c r="J105" s="2385"/>
      <c r="K105" s="2385"/>
      <c r="L105" s="2385"/>
      <c r="M105" s="2385"/>
      <c r="N105" s="2385"/>
      <c r="O105" s="2385"/>
      <c r="P105" s="2385"/>
      <c r="Q105" s="2385"/>
      <c r="R105" s="2385"/>
      <c r="S105" s="2385"/>
      <c r="T105" s="2385"/>
      <c r="U105" s="2385"/>
      <c r="V105" s="2385"/>
      <c r="W105" s="2385"/>
      <c r="X105" s="3734"/>
      <c r="Y105" s="4588" t="s">
        <v>252</v>
      </c>
    </row>
    <row r="106" spans="1:29" ht="15" customHeight="1">
      <c r="A106" s="4569"/>
      <c r="B106" s="2275" t="s">
        <v>22</v>
      </c>
      <c r="C106" s="3735"/>
      <c r="D106" s="3137">
        <f>+D107+D110</f>
        <v>36283169</v>
      </c>
      <c r="E106" s="2917">
        <f t="shared" ref="E106:O106" si="166">+E107+E110</f>
        <v>6500224</v>
      </c>
      <c r="F106" s="2917">
        <f t="shared" si="166"/>
        <v>229394</v>
      </c>
      <c r="G106" s="2917">
        <f t="shared" si="166"/>
        <v>1937989</v>
      </c>
      <c r="H106" s="2917">
        <f t="shared" si="166"/>
        <v>4332842</v>
      </c>
      <c r="I106" s="2917">
        <f t="shared" si="166"/>
        <v>4624937</v>
      </c>
      <c r="J106" s="2917">
        <f t="shared" si="166"/>
        <v>5030014</v>
      </c>
      <c r="K106" s="2917">
        <f t="shared" si="166"/>
        <v>5136855</v>
      </c>
      <c r="L106" s="2751">
        <f>+L107+L110</f>
        <v>6508074</v>
      </c>
      <c r="M106" s="3736">
        <f>+M107+M110</f>
        <v>34092128</v>
      </c>
      <c r="N106" s="2917">
        <f t="shared" si="166"/>
        <v>6292024</v>
      </c>
      <c r="O106" s="2917">
        <f t="shared" si="166"/>
        <v>2191041</v>
      </c>
      <c r="P106" s="2917"/>
      <c r="Q106" s="3701"/>
      <c r="R106" s="3701"/>
      <c r="S106" s="3701"/>
      <c r="T106" s="3701"/>
      <c r="U106" s="3701"/>
      <c r="V106" s="3701"/>
      <c r="W106" s="3701"/>
      <c r="X106" s="3138">
        <f>+X107+X110</f>
        <v>0</v>
      </c>
      <c r="Y106" s="4589"/>
      <c r="Z106" s="2465"/>
    </row>
    <row r="107" spans="1:29" ht="12" customHeight="1">
      <c r="A107" s="4569"/>
      <c r="B107" s="2742" t="s">
        <v>23</v>
      </c>
      <c r="C107" s="4591" t="s">
        <v>253</v>
      </c>
      <c r="D107" s="3139">
        <f>+D108+D109</f>
        <v>9656441</v>
      </c>
      <c r="E107" s="3139">
        <f>+E108+E109</f>
        <v>1672219</v>
      </c>
      <c r="F107" s="3139">
        <f>+F108+F109</f>
        <v>57349</v>
      </c>
      <c r="G107" s="3139">
        <f>+G108+G109</f>
        <v>464497</v>
      </c>
      <c r="H107" s="3139">
        <f>+H108+H109</f>
        <v>1150374</v>
      </c>
      <c r="I107" s="2914">
        <f>SUM(I108:I109)</f>
        <v>1204357</v>
      </c>
      <c r="J107" s="2914">
        <f>SUM(J108:J109)</f>
        <v>1374291</v>
      </c>
      <c r="K107" s="2914">
        <f>SUM(K108:K109)</f>
        <v>1343997</v>
      </c>
      <c r="L107" s="3737">
        <f t="shared" ref="L107:O107" si="167">L108+L109</f>
        <v>1756296</v>
      </c>
      <c r="M107" s="3737">
        <f t="shared" ref="M107" si="168">M108+M109</f>
        <v>9079141</v>
      </c>
      <c r="N107" s="2914">
        <f t="shared" si="167"/>
        <v>1727981</v>
      </c>
      <c r="O107" s="2914">
        <f t="shared" si="167"/>
        <v>577300</v>
      </c>
      <c r="P107" s="2914"/>
      <c r="Q107" s="2914"/>
      <c r="R107" s="2914"/>
      <c r="S107" s="2914"/>
      <c r="T107" s="2914"/>
      <c r="U107" s="2914"/>
      <c r="V107" s="2914"/>
      <c r="W107" s="2914"/>
      <c r="X107" s="3140">
        <f>X108+X109</f>
        <v>0</v>
      </c>
      <c r="Y107" s="4589"/>
      <c r="Z107" s="2465"/>
    </row>
    <row r="108" spans="1:29" ht="12" customHeight="1">
      <c r="A108" s="4569"/>
      <c r="B108" s="2426" t="s">
        <v>24</v>
      </c>
      <c r="C108" s="4592"/>
      <c r="D108" s="3141">
        <f t="shared" ref="D108:D109" si="169">M108+O108+P108+Q108+R108+S108+T108</f>
        <v>2399858</v>
      </c>
      <c r="E108" s="3738">
        <f>F108+G108+H108</f>
        <v>1061362</v>
      </c>
      <c r="F108" s="3738">
        <f>57348+1</f>
        <v>57349</v>
      </c>
      <c r="G108" s="3738">
        <v>464497</v>
      </c>
      <c r="H108" s="3738">
        <f>539515+1</f>
        <v>539516</v>
      </c>
      <c r="I108" s="3143">
        <f>317842+77483</f>
        <v>395325</v>
      </c>
      <c r="J108" s="3143">
        <f>219166+155719</f>
        <v>374885</v>
      </c>
      <c r="K108" s="3143">
        <f>198300-97040-21535+8290+368+4558</f>
        <v>92941</v>
      </c>
      <c r="L108" s="3739">
        <f>389428-9200-160000-47860+10019+3285</f>
        <v>185672</v>
      </c>
      <c r="M108" s="3143">
        <f>E108+I108+J108+K108+L108+N108</f>
        <v>2360473</v>
      </c>
      <c r="N108" s="3143">
        <f>290000+21535+88465-163500-29868+36766+6890</f>
        <v>250288</v>
      </c>
      <c r="O108" s="3143">
        <f>180000-130000+160000+57060-147060-80000-615</f>
        <v>39385</v>
      </c>
      <c r="P108" s="3143"/>
      <c r="Q108" s="3143"/>
      <c r="R108" s="3143"/>
      <c r="S108" s="3143"/>
      <c r="T108" s="3143"/>
      <c r="U108" s="3143"/>
      <c r="V108" s="3143"/>
      <c r="W108" s="3143"/>
      <c r="X108" s="3144">
        <f>SUM(P108:T108)</f>
        <v>0</v>
      </c>
      <c r="Y108" s="4589"/>
      <c r="Z108" s="2465">
        <f>D108-D116</f>
        <v>731313</v>
      </c>
      <c r="AA108" s="2465"/>
    </row>
    <row r="109" spans="1:29" ht="12" customHeight="1">
      <c r="A109" s="4569"/>
      <c r="B109" s="2426" t="s">
        <v>26</v>
      </c>
      <c r="C109" s="4592"/>
      <c r="D109" s="3141">
        <f t="shared" si="169"/>
        <v>7256583</v>
      </c>
      <c r="E109" s="3738">
        <v>610857</v>
      </c>
      <c r="F109" s="3738"/>
      <c r="G109" s="3738"/>
      <c r="H109" s="3738">
        <v>610858</v>
      </c>
      <c r="I109" s="3143">
        <f>941657-116444-I124</f>
        <v>809032</v>
      </c>
      <c r="J109" s="3143">
        <f>999407-1</f>
        <v>999406</v>
      </c>
      <c r="K109" s="3143">
        <f>1815173-250173-275827-38117</f>
        <v>1251056</v>
      </c>
      <c r="L109" s="3739">
        <f>1890000+10000-10000-219447-99929</f>
        <v>1570624</v>
      </c>
      <c r="M109" s="3143">
        <f>E109+I109+J109+K109+L109+N109</f>
        <v>6718668</v>
      </c>
      <c r="N109" s="3143">
        <f>1375000+38117+586883-486170-36137</f>
        <v>1477693</v>
      </c>
      <c r="O109" s="3143">
        <f>750000-714000+229447+99929+284624-112084-1</f>
        <v>537915</v>
      </c>
      <c r="P109" s="3143"/>
      <c r="Q109" s="3143"/>
      <c r="R109" s="3143"/>
      <c r="S109" s="3143"/>
      <c r="T109" s="3143"/>
      <c r="U109" s="3143"/>
      <c r="V109" s="3143"/>
      <c r="W109" s="3143"/>
      <c r="X109" s="3144">
        <f>SUM(P109:T109)</f>
        <v>0</v>
      </c>
      <c r="Y109" s="4589"/>
      <c r="Z109" s="2465">
        <f>D111-D119</f>
        <v>0</v>
      </c>
    </row>
    <row r="110" spans="1:29" ht="12" customHeight="1">
      <c r="A110" s="4569"/>
      <c r="B110" s="2747" t="s">
        <v>30</v>
      </c>
      <c r="C110" s="4592"/>
      <c r="D110" s="3139">
        <f>+D112+D111</f>
        <v>26626728</v>
      </c>
      <c r="E110" s="3139">
        <f t="shared" ref="E110:O110" si="170">+E112+E111</f>
        <v>4828005</v>
      </c>
      <c r="F110" s="3139">
        <f t="shared" si="170"/>
        <v>172045</v>
      </c>
      <c r="G110" s="3139">
        <f t="shared" si="170"/>
        <v>1473492</v>
      </c>
      <c r="H110" s="3139">
        <f t="shared" si="170"/>
        <v>3182468</v>
      </c>
      <c r="I110" s="3139">
        <f t="shared" si="170"/>
        <v>3420580</v>
      </c>
      <c r="J110" s="3139">
        <f t="shared" si="170"/>
        <v>3655723</v>
      </c>
      <c r="K110" s="3139">
        <f t="shared" si="170"/>
        <v>3792858</v>
      </c>
      <c r="L110" s="2752">
        <f t="shared" si="170"/>
        <v>4751778</v>
      </c>
      <c r="M110" s="3737">
        <f t="shared" ref="M110" si="171">+M112+M111</f>
        <v>25012987</v>
      </c>
      <c r="N110" s="2914">
        <f t="shared" si="170"/>
        <v>4564043</v>
      </c>
      <c r="O110" s="3139">
        <f t="shared" si="170"/>
        <v>1613741</v>
      </c>
      <c r="P110" s="3139"/>
      <c r="Q110" s="3139"/>
      <c r="R110" s="2387"/>
      <c r="S110" s="2387"/>
      <c r="T110" s="2387"/>
      <c r="U110" s="2387"/>
      <c r="V110" s="2387"/>
      <c r="W110" s="2387"/>
      <c r="X110" s="3140">
        <f>+X112</f>
        <v>0</v>
      </c>
      <c r="Y110" s="4589"/>
      <c r="Z110" s="2465"/>
      <c r="AA110" s="2465"/>
      <c r="AB110" s="2465"/>
      <c r="AC110" s="2465"/>
    </row>
    <row r="111" spans="1:29" ht="12" customHeight="1">
      <c r="A111" s="4569"/>
      <c r="B111" s="2426" t="s">
        <v>24</v>
      </c>
      <c r="C111" s="4592"/>
      <c r="D111" s="3141">
        <f t="shared" ref="D111:D112" si="172">M111+O111+P111+Q111+R111+S111+T111</f>
        <v>5251454</v>
      </c>
      <c r="E111" s="3738">
        <f>F111+G111+H111</f>
        <v>3389898</v>
      </c>
      <c r="F111" s="3153">
        <v>172045</v>
      </c>
      <c r="G111" s="3153">
        <v>1473492</v>
      </c>
      <c r="H111" s="3153">
        <v>1744361</v>
      </c>
      <c r="I111" s="2388">
        <v>993527</v>
      </c>
      <c r="J111" s="2388">
        <v>657500</v>
      </c>
      <c r="K111" s="2388">
        <f>24870+1104+13672</f>
        <v>39646</v>
      </c>
      <c r="L111" s="3739">
        <f>30059+9855</f>
        <v>39914</v>
      </c>
      <c r="M111" s="3143">
        <f>E111+I111+J111+K111+L111+N111</f>
        <v>5251454</v>
      </c>
      <c r="N111" s="3143">
        <f>0+110297+20672</f>
        <v>130969</v>
      </c>
      <c r="O111" s="3740">
        <v>0</v>
      </c>
      <c r="P111" s="2914"/>
      <c r="Q111" s="2387"/>
      <c r="R111" s="2387"/>
      <c r="S111" s="2387"/>
      <c r="T111" s="2387"/>
      <c r="U111" s="2387"/>
      <c r="V111" s="2387"/>
      <c r="W111" s="2387"/>
      <c r="X111" s="3144">
        <f>SUM(P111:T111)</f>
        <v>0</v>
      </c>
      <c r="Y111" s="4589"/>
    </row>
    <row r="112" spans="1:29" ht="12" customHeight="1">
      <c r="A112" s="4586"/>
      <c r="B112" s="2426" t="s">
        <v>26</v>
      </c>
      <c r="C112" s="4593"/>
      <c r="D112" s="3141">
        <f t="shared" si="172"/>
        <v>21375274</v>
      </c>
      <c r="E112" s="3738">
        <v>1438107</v>
      </c>
      <c r="F112" s="3153"/>
      <c r="G112" s="3153"/>
      <c r="H112" s="3738">
        <v>1438107</v>
      </c>
      <c r="I112" s="3143">
        <f>2825968-350370-I126</f>
        <v>2427053</v>
      </c>
      <c r="J112" s="3143">
        <f>2998222+1</f>
        <v>2998223</v>
      </c>
      <c r="K112" s="3143">
        <f>5445519-750519-827480-114308</f>
        <v>3753212</v>
      </c>
      <c r="L112" s="3739">
        <f>5670000+30000-30000-658340-299796</f>
        <v>4711864</v>
      </c>
      <c r="M112" s="3143">
        <f>E112+I112+J112+K112+L112+N112</f>
        <v>19761533</v>
      </c>
      <c r="N112" s="3143">
        <f>4125000+114308+1760692-1458510-108416</f>
        <v>4433074</v>
      </c>
      <c r="O112" s="3143">
        <f>2250000-2142000+688340+299796+853864-336257-2</f>
        <v>1613741</v>
      </c>
      <c r="P112" s="3143"/>
      <c r="Q112" s="3143"/>
      <c r="R112" s="3143"/>
      <c r="S112" s="3143"/>
      <c r="T112" s="3143"/>
      <c r="U112" s="3143"/>
      <c r="V112" s="3143"/>
      <c r="W112" s="3143"/>
      <c r="X112" s="3144">
        <f>SUM(P112:T112)</f>
        <v>0</v>
      </c>
      <c r="Y112" s="4589"/>
    </row>
    <row r="113" spans="1:25" ht="14.25" customHeight="1">
      <c r="A113" s="4586"/>
      <c r="B113" s="2275" t="s">
        <v>34</v>
      </c>
      <c r="C113" s="3741"/>
      <c r="D113" s="2917">
        <f t="shared" ref="D113:O113" si="173">+D114+D117</f>
        <v>35551856</v>
      </c>
      <c r="E113" s="2917">
        <f t="shared" si="173"/>
        <v>2048964</v>
      </c>
      <c r="F113" s="2917">
        <f t="shared" si="173"/>
        <v>0</v>
      </c>
      <c r="G113" s="2917">
        <f t="shared" si="173"/>
        <v>0</v>
      </c>
      <c r="H113" s="2917">
        <f t="shared" si="173"/>
        <v>2048965</v>
      </c>
      <c r="I113" s="2917">
        <f t="shared" si="173"/>
        <v>5051557</v>
      </c>
      <c r="J113" s="2917">
        <f t="shared" si="173"/>
        <v>6522639</v>
      </c>
      <c r="K113" s="2917">
        <f t="shared" si="173"/>
        <v>6831520</v>
      </c>
      <c r="L113" s="2751">
        <f t="shared" si="173"/>
        <v>6788680</v>
      </c>
      <c r="M113" s="3736">
        <f t="shared" ref="M113" si="174">+M114+M117</f>
        <v>33212435</v>
      </c>
      <c r="N113" s="2917">
        <f t="shared" si="173"/>
        <v>5969075</v>
      </c>
      <c r="O113" s="2917">
        <f t="shared" si="173"/>
        <v>2339421</v>
      </c>
      <c r="P113" s="3701"/>
      <c r="Q113" s="3701"/>
      <c r="R113" s="3701"/>
      <c r="S113" s="3701"/>
      <c r="T113" s="3701"/>
      <c r="U113" s="3701"/>
      <c r="V113" s="3701"/>
      <c r="W113" s="3701"/>
      <c r="X113" s="4576" t="s">
        <v>77</v>
      </c>
      <c r="Y113" s="4589"/>
    </row>
    <row r="114" spans="1:25" ht="12.95" customHeight="1">
      <c r="A114" s="4586"/>
      <c r="B114" s="2742" t="s">
        <v>23</v>
      </c>
      <c r="C114" s="4594" t="s">
        <v>253</v>
      </c>
      <c r="D114" s="2914">
        <f t="shared" ref="D114:O114" si="175">+D115+D116</f>
        <v>8925128</v>
      </c>
      <c r="E114" s="2914">
        <f t="shared" si="175"/>
        <v>610857</v>
      </c>
      <c r="F114" s="2914">
        <f t="shared" si="175"/>
        <v>0</v>
      </c>
      <c r="G114" s="2914">
        <f t="shared" si="175"/>
        <v>0</v>
      </c>
      <c r="H114" s="2914">
        <f t="shared" si="175"/>
        <v>610858</v>
      </c>
      <c r="I114" s="2914">
        <f t="shared" si="175"/>
        <v>1262900</v>
      </c>
      <c r="J114" s="2914">
        <f t="shared" si="175"/>
        <v>1569204</v>
      </c>
      <c r="K114" s="2914">
        <f t="shared" si="175"/>
        <v>1707869</v>
      </c>
      <c r="L114" s="3737">
        <f t="shared" si="175"/>
        <v>1697172</v>
      </c>
      <c r="M114" s="3737">
        <f t="shared" ref="M114" si="176">+M115+M116</f>
        <v>8340272</v>
      </c>
      <c r="N114" s="2914">
        <f t="shared" si="175"/>
        <v>1492270</v>
      </c>
      <c r="O114" s="2914">
        <f t="shared" si="175"/>
        <v>584856</v>
      </c>
      <c r="P114" s="2387"/>
      <c r="Q114" s="2387"/>
      <c r="R114" s="2387"/>
      <c r="S114" s="2387"/>
      <c r="T114" s="2387"/>
      <c r="U114" s="2387"/>
      <c r="V114" s="2387"/>
      <c r="W114" s="2387"/>
      <c r="X114" s="4576"/>
      <c r="Y114" s="4589"/>
    </row>
    <row r="115" spans="1:25" ht="12" customHeight="1">
      <c r="A115" s="4586"/>
      <c r="B115" s="2426" t="s">
        <v>26</v>
      </c>
      <c r="C115" s="4594"/>
      <c r="D115" s="3141">
        <f t="shared" ref="D115:D116" si="177">M115+O115+P115+Q115+R115+S115+T115</f>
        <v>7256583</v>
      </c>
      <c r="E115" s="3738">
        <v>610857</v>
      </c>
      <c r="F115" s="3738"/>
      <c r="G115" s="3738"/>
      <c r="H115" s="3738">
        <v>610858</v>
      </c>
      <c r="I115" s="3143">
        <f>941657-116444-I129</f>
        <v>809032</v>
      </c>
      <c r="J115" s="3143">
        <f>999407-1</f>
        <v>999406</v>
      </c>
      <c r="K115" s="3143">
        <f>1815173-250173-275827-38117</f>
        <v>1251056</v>
      </c>
      <c r="L115" s="3739">
        <f>1890000+10000-10000-219447-99929</f>
        <v>1570624</v>
      </c>
      <c r="M115" s="3143">
        <f>E115+I115+J115+K115+L115+N115</f>
        <v>6718668</v>
      </c>
      <c r="N115" s="3143">
        <f>1375000+38117+586883-486170-36137</f>
        <v>1477693</v>
      </c>
      <c r="O115" s="3143">
        <f>750000-714000+229447+99929+284624-112084-1</f>
        <v>537915</v>
      </c>
      <c r="P115" s="3143"/>
      <c r="Q115" s="3143"/>
      <c r="R115" s="3143"/>
      <c r="S115" s="3143"/>
      <c r="T115" s="3143"/>
      <c r="U115" s="3143"/>
      <c r="V115" s="3143"/>
      <c r="W115" s="3143"/>
      <c r="X115" s="4576"/>
      <c r="Y115" s="4589"/>
    </row>
    <row r="116" spans="1:25" ht="12" customHeight="1">
      <c r="A116" s="4586"/>
      <c r="B116" s="2426" t="s">
        <v>37</v>
      </c>
      <c r="C116" s="4594"/>
      <c r="D116" s="3141">
        <f t="shared" si="177"/>
        <v>1668545</v>
      </c>
      <c r="E116" s="3738">
        <f>+F116+G116+H116</f>
        <v>0</v>
      </c>
      <c r="F116" s="3738"/>
      <c r="G116" s="3738"/>
      <c r="H116" s="3742"/>
      <c r="I116" s="3143">
        <f>450810+3058</f>
        <v>453868</v>
      </c>
      <c r="J116" s="3143">
        <v>569798</v>
      </c>
      <c r="K116" s="3143">
        <f>162696+117304+176813</f>
        <v>456813</v>
      </c>
      <c r="L116" s="3739">
        <f>126180+368</f>
        <v>126548</v>
      </c>
      <c r="M116" s="3143">
        <f>E116+I116+J116+K116+L116+N116</f>
        <v>1621604</v>
      </c>
      <c r="N116" s="3143">
        <v>14577</v>
      </c>
      <c r="O116" s="3143">
        <f>0+40051+6890</f>
        <v>46941</v>
      </c>
      <c r="P116" s="3143"/>
      <c r="Q116" s="3143"/>
      <c r="R116" s="3143"/>
      <c r="S116" s="3143"/>
      <c r="T116" s="3143"/>
      <c r="U116" s="3143"/>
      <c r="V116" s="3143"/>
      <c r="W116" s="3143"/>
      <c r="X116" s="4576"/>
      <c r="Y116" s="4589"/>
    </row>
    <row r="117" spans="1:25" ht="12" customHeight="1">
      <c r="A117" s="4586"/>
      <c r="B117" s="2747" t="s">
        <v>30</v>
      </c>
      <c r="C117" s="4594"/>
      <c r="D117" s="2914">
        <f t="shared" ref="D117:O117" si="178">+D118+D119</f>
        <v>26626728</v>
      </c>
      <c r="E117" s="2914">
        <f t="shared" si="178"/>
        <v>1438107</v>
      </c>
      <c r="F117" s="2914">
        <f t="shared" si="178"/>
        <v>0</v>
      </c>
      <c r="G117" s="2914">
        <f t="shared" si="178"/>
        <v>0</v>
      </c>
      <c r="H117" s="2914">
        <f t="shared" si="178"/>
        <v>1438107</v>
      </c>
      <c r="I117" s="2914">
        <f t="shared" si="178"/>
        <v>3788657</v>
      </c>
      <c r="J117" s="2914">
        <f t="shared" si="178"/>
        <v>4953435</v>
      </c>
      <c r="K117" s="2914">
        <f t="shared" si="178"/>
        <v>5123651</v>
      </c>
      <c r="L117" s="3737">
        <f t="shared" si="178"/>
        <v>5091508</v>
      </c>
      <c r="M117" s="3737">
        <f t="shared" ref="M117" si="179">+M118+M119</f>
        <v>24872163</v>
      </c>
      <c r="N117" s="2914">
        <f t="shared" si="178"/>
        <v>4476805</v>
      </c>
      <c r="O117" s="2914">
        <f t="shared" si="178"/>
        <v>1754565</v>
      </c>
      <c r="P117" s="2387"/>
      <c r="Q117" s="2387"/>
      <c r="R117" s="2387"/>
      <c r="S117" s="2387"/>
      <c r="T117" s="2387"/>
      <c r="U117" s="2387"/>
      <c r="V117" s="2387"/>
      <c r="W117" s="2387"/>
      <c r="X117" s="4576"/>
      <c r="Y117" s="4589"/>
    </row>
    <row r="118" spans="1:25" ht="12" customHeight="1">
      <c r="A118" s="4586"/>
      <c r="B118" s="2426" t="s">
        <v>26</v>
      </c>
      <c r="C118" s="4594"/>
      <c r="D118" s="3141">
        <f t="shared" ref="D118:D119" si="180">M118+O118+P118+Q118+R118+S118+T118</f>
        <v>21375274</v>
      </c>
      <c r="E118" s="3738">
        <f>+F118+G118+H118</f>
        <v>1438107</v>
      </c>
      <c r="F118" s="3743"/>
      <c r="G118" s="3743"/>
      <c r="H118" s="3743">
        <v>1438107</v>
      </c>
      <c r="I118" s="3143">
        <f>2825968-350370-I131</f>
        <v>2427053</v>
      </c>
      <c r="J118" s="3143">
        <f>2998222+1</f>
        <v>2998223</v>
      </c>
      <c r="K118" s="3143">
        <f>5445519-750519-827480-114308</f>
        <v>3753212</v>
      </c>
      <c r="L118" s="3143">
        <f>5670000+30000-30000-658340-299796</f>
        <v>4711864</v>
      </c>
      <c r="M118" s="3143">
        <f>E118+I118+J118+K118+L118+N118</f>
        <v>19761533</v>
      </c>
      <c r="N118" s="3143">
        <f>4125000+114308+1760692-1458510-108416</f>
        <v>4433074</v>
      </c>
      <c r="O118" s="3143">
        <f>2250000-2142000+688340+299796+853864-336257-2</f>
        <v>1613741</v>
      </c>
      <c r="P118" s="3143"/>
      <c r="Q118" s="3143"/>
      <c r="R118" s="3143"/>
      <c r="S118" s="3143"/>
      <c r="T118" s="3143"/>
      <c r="U118" s="3143"/>
      <c r="V118" s="3143"/>
      <c r="W118" s="3143"/>
      <c r="X118" s="4576"/>
      <c r="Y118" s="4589"/>
    </row>
    <row r="119" spans="1:25" ht="12" customHeight="1" thickBot="1">
      <c r="A119" s="4587"/>
      <c r="B119" s="3744" t="s">
        <v>32</v>
      </c>
      <c r="C119" s="4595"/>
      <c r="D119" s="3148">
        <f t="shared" si="180"/>
        <v>5251454</v>
      </c>
      <c r="E119" s="3745">
        <f>+F119+G119+H119</f>
        <v>0</v>
      </c>
      <c r="F119" s="3746"/>
      <c r="G119" s="3746"/>
      <c r="H119" s="1826"/>
      <c r="I119" s="1825">
        <f>1352428+9176</f>
        <v>1361604</v>
      </c>
      <c r="J119" s="3747">
        <v>1955212</v>
      </c>
      <c r="K119" s="3747">
        <f>488094+351906+530439</f>
        <v>1370439</v>
      </c>
      <c r="L119" s="1825">
        <f>378540+1104</f>
        <v>379644</v>
      </c>
      <c r="M119" s="3149">
        <f>E119+I119+J119+K119+L119+N119</f>
        <v>5110630</v>
      </c>
      <c r="N119" s="1825">
        <v>43731</v>
      </c>
      <c r="O119" s="3149">
        <f>0+120152+20672</f>
        <v>140824</v>
      </c>
      <c r="P119" s="1825"/>
      <c r="Q119" s="1825"/>
      <c r="R119" s="1825"/>
      <c r="S119" s="1825"/>
      <c r="T119" s="1825"/>
      <c r="U119" s="1825"/>
      <c r="V119" s="1825"/>
      <c r="W119" s="1825"/>
      <c r="X119" s="4577"/>
      <c r="Y119" s="4590"/>
    </row>
    <row r="120" spans="1:25" ht="26.25" customHeight="1">
      <c r="A120" s="4554" t="s">
        <v>105</v>
      </c>
      <c r="B120" s="3689" t="s">
        <v>254</v>
      </c>
      <c r="C120" s="3690" t="s">
        <v>98</v>
      </c>
      <c r="D120" s="3690"/>
      <c r="E120" s="529"/>
      <c r="F120" s="529"/>
      <c r="G120" s="529"/>
      <c r="H120" s="529"/>
      <c r="I120" s="530"/>
      <c r="J120" s="530"/>
      <c r="K120" s="530"/>
      <c r="L120" s="3731"/>
      <c r="M120" s="530"/>
      <c r="N120" s="530"/>
      <c r="O120" s="530"/>
      <c r="P120" s="530"/>
      <c r="Q120" s="530"/>
      <c r="R120" s="530"/>
      <c r="S120" s="530"/>
      <c r="T120" s="530"/>
      <c r="U120" s="530"/>
      <c r="V120" s="530"/>
      <c r="W120" s="530"/>
      <c r="X120" s="3693"/>
      <c r="Y120" s="4556" t="s">
        <v>255</v>
      </c>
    </row>
    <row r="121" spans="1:25" ht="14.25" customHeight="1">
      <c r="A121" s="4554"/>
      <c r="B121" s="381" t="s">
        <v>22</v>
      </c>
      <c r="C121" s="2658"/>
      <c r="D121" s="2627">
        <f t="shared" ref="D121:N121" si="181">+D122+D125</f>
        <v>78966</v>
      </c>
      <c r="E121" s="2628">
        <f t="shared" si="181"/>
        <v>0</v>
      </c>
      <c r="F121" s="2606">
        <f t="shared" si="181"/>
        <v>55648</v>
      </c>
      <c r="G121" s="2606">
        <f t="shared" si="181"/>
        <v>251105</v>
      </c>
      <c r="H121" s="2606">
        <f t="shared" si="181"/>
        <v>2662192</v>
      </c>
      <c r="I121" s="2606">
        <f t="shared" si="181"/>
        <v>78966</v>
      </c>
      <c r="J121" s="2628">
        <f t="shared" si="181"/>
        <v>0</v>
      </c>
      <c r="K121" s="2628">
        <f t="shared" si="181"/>
        <v>0</v>
      </c>
      <c r="L121" s="2629">
        <f t="shared" si="181"/>
        <v>0</v>
      </c>
      <c r="M121" s="2606">
        <f t="shared" ref="M121" si="182">+M122+M125</f>
        <v>78966</v>
      </c>
      <c r="N121" s="2647">
        <f t="shared" si="181"/>
        <v>0</v>
      </c>
      <c r="O121" s="2647">
        <f>+O122+O125</f>
        <v>0</v>
      </c>
      <c r="P121" s="2648"/>
      <c r="Q121" s="2648"/>
      <c r="R121" s="2648"/>
      <c r="S121" s="2648"/>
      <c r="T121" s="2648"/>
      <c r="U121" s="2648"/>
      <c r="V121" s="2648"/>
      <c r="W121" s="2648"/>
      <c r="X121" s="2660">
        <f>+X122+X125</f>
        <v>0</v>
      </c>
      <c r="Y121" s="4556"/>
    </row>
    <row r="122" spans="1:25" ht="12" customHeight="1">
      <c r="A122" s="4554"/>
      <c r="B122" s="2609" t="s">
        <v>23</v>
      </c>
      <c r="C122" s="4558" t="s">
        <v>253</v>
      </c>
      <c r="D122" s="2619">
        <f>+D123+D124</f>
        <v>30421</v>
      </c>
      <c r="E122" s="2631">
        <f>+E123+E124</f>
        <v>0</v>
      </c>
      <c r="F122" s="1695">
        <f>+F123+F124</f>
        <v>55648</v>
      </c>
      <c r="G122" s="1695">
        <f>+G123+G124</f>
        <v>251105</v>
      </c>
      <c r="H122" s="1695">
        <f>+H123+H124</f>
        <v>1224085</v>
      </c>
      <c r="I122" s="1694">
        <f>SUM(I123:I124)</f>
        <v>30421</v>
      </c>
      <c r="J122" s="1710">
        <f>SUM(J123:J124)</f>
        <v>0</v>
      </c>
      <c r="K122" s="2636">
        <f>SUM(K123:K124)</f>
        <v>0</v>
      </c>
      <c r="L122" s="2641">
        <f t="shared" ref="L122:N122" si="183">L123+L124</f>
        <v>0</v>
      </c>
      <c r="M122" s="2611">
        <f>SUM(M123:M124)</f>
        <v>30421</v>
      </c>
      <c r="N122" s="2636">
        <f t="shared" si="183"/>
        <v>0</v>
      </c>
      <c r="O122" s="2636">
        <f>O123+O124</f>
        <v>0</v>
      </c>
      <c r="P122" s="2611"/>
      <c r="Q122" s="2611"/>
      <c r="R122" s="2611"/>
      <c r="S122" s="2611"/>
      <c r="T122" s="2611"/>
      <c r="U122" s="2611"/>
      <c r="V122" s="2611"/>
      <c r="W122" s="2611"/>
      <c r="X122" s="2661">
        <f>X123+X124</f>
        <v>0</v>
      </c>
      <c r="Y122" s="4556"/>
    </row>
    <row r="123" spans="1:25" ht="12" customHeight="1">
      <c r="A123" s="4554"/>
      <c r="B123" s="510" t="s">
        <v>24</v>
      </c>
      <c r="C123" s="4581"/>
      <c r="D123" s="2107">
        <f t="shared" ref="D123:D124" si="184">M123+O123+P123+Q123+R123+S123+T123</f>
        <v>14240</v>
      </c>
      <c r="E123" s="2635">
        <v>0</v>
      </c>
      <c r="F123" s="2617">
        <v>55648</v>
      </c>
      <c r="G123" s="2617">
        <v>251105</v>
      </c>
      <c r="H123" s="2617">
        <v>613227</v>
      </c>
      <c r="I123" s="2613">
        <v>14240</v>
      </c>
      <c r="J123" s="2633">
        <v>0</v>
      </c>
      <c r="K123" s="2633">
        <v>0</v>
      </c>
      <c r="L123" s="2642">
        <v>0</v>
      </c>
      <c r="M123" s="2613">
        <f>E123+I123+J123+K123+L123+N123</f>
        <v>14240</v>
      </c>
      <c r="N123" s="2657">
        <v>0</v>
      </c>
      <c r="O123" s="2657">
        <v>0</v>
      </c>
      <c r="P123" s="2613"/>
      <c r="Q123" s="2613"/>
      <c r="R123" s="2613"/>
      <c r="S123" s="2613"/>
      <c r="T123" s="2613"/>
      <c r="U123" s="2613"/>
      <c r="V123" s="2613"/>
      <c r="W123" s="2613"/>
      <c r="X123" s="2634">
        <f>+P123+Q123+R123+S123</f>
        <v>0</v>
      </c>
      <c r="Y123" s="4556"/>
    </row>
    <row r="124" spans="1:25" ht="12" customHeight="1">
      <c r="A124" s="4554"/>
      <c r="B124" s="510" t="s">
        <v>26</v>
      </c>
      <c r="C124" s="4581"/>
      <c r="D124" s="2107">
        <f t="shared" si="184"/>
        <v>16181</v>
      </c>
      <c r="E124" s="2635">
        <v>0</v>
      </c>
      <c r="F124" s="2617"/>
      <c r="G124" s="2617"/>
      <c r="H124" s="2617">
        <v>610858</v>
      </c>
      <c r="I124" s="2613">
        <v>16181</v>
      </c>
      <c r="J124" s="2633">
        <v>0</v>
      </c>
      <c r="K124" s="2633">
        <v>0</v>
      </c>
      <c r="L124" s="2642">
        <f>10000-10000</f>
        <v>0</v>
      </c>
      <c r="M124" s="2613">
        <f>E124+I124+J124+K124+L124+N124</f>
        <v>16181</v>
      </c>
      <c r="N124" s="2657">
        <v>0</v>
      </c>
      <c r="O124" s="2657">
        <v>0</v>
      </c>
      <c r="P124" s="2613"/>
      <c r="Q124" s="2613"/>
      <c r="R124" s="2613"/>
      <c r="S124" s="2613"/>
      <c r="T124" s="2613"/>
      <c r="U124" s="2613"/>
      <c r="V124" s="2613"/>
      <c r="W124" s="2613"/>
      <c r="X124" s="2634">
        <f>+P124+Q124+R124+S124</f>
        <v>0</v>
      </c>
      <c r="Y124" s="4556"/>
    </row>
    <row r="125" spans="1:25" ht="12" customHeight="1">
      <c r="A125" s="4554"/>
      <c r="B125" s="2652" t="s">
        <v>30</v>
      </c>
      <c r="C125" s="4581"/>
      <c r="D125" s="2619">
        <f>+D126</f>
        <v>48545</v>
      </c>
      <c r="E125" s="2631">
        <f t="shared" ref="E125:M125" si="185">+E126</f>
        <v>0</v>
      </c>
      <c r="F125" s="2619">
        <f t="shared" si="185"/>
        <v>0</v>
      </c>
      <c r="G125" s="2619">
        <f t="shared" si="185"/>
        <v>0</v>
      </c>
      <c r="H125" s="2619">
        <f t="shared" si="185"/>
        <v>1438107</v>
      </c>
      <c r="I125" s="2619">
        <f t="shared" si="185"/>
        <v>48545</v>
      </c>
      <c r="J125" s="2631">
        <f t="shared" si="185"/>
        <v>0</v>
      </c>
      <c r="K125" s="2631">
        <f t="shared" si="185"/>
        <v>0</v>
      </c>
      <c r="L125" s="2662">
        <f t="shared" si="185"/>
        <v>0</v>
      </c>
      <c r="M125" s="2611">
        <f t="shared" si="185"/>
        <v>48545</v>
      </c>
      <c r="N125" s="1710">
        <f>+N126</f>
        <v>0</v>
      </c>
      <c r="O125" s="1710">
        <f>+O126</f>
        <v>0</v>
      </c>
      <c r="P125" s="1694"/>
      <c r="Q125" s="1694"/>
      <c r="R125" s="1694"/>
      <c r="S125" s="1694"/>
      <c r="T125" s="1694"/>
      <c r="U125" s="1694"/>
      <c r="V125" s="1694"/>
      <c r="W125" s="1694"/>
      <c r="X125" s="2661">
        <f>+X126</f>
        <v>0</v>
      </c>
      <c r="Y125" s="4556"/>
    </row>
    <row r="126" spans="1:25" ht="12" customHeight="1">
      <c r="A126" s="4554"/>
      <c r="B126" s="510" t="s">
        <v>26</v>
      </c>
      <c r="C126" s="4582"/>
      <c r="D126" s="2107">
        <f>M126+O126+P126+Q126+R126+S126+T126</f>
        <v>48545</v>
      </c>
      <c r="E126" s="2635">
        <v>0</v>
      </c>
      <c r="F126" s="1716"/>
      <c r="G126" s="1716"/>
      <c r="H126" s="2617">
        <v>1438107</v>
      </c>
      <c r="I126" s="2613">
        <v>48545</v>
      </c>
      <c r="J126" s="2633">
        <v>0</v>
      </c>
      <c r="K126" s="2633">
        <v>0</v>
      </c>
      <c r="L126" s="2642">
        <f>30000-30000</f>
        <v>0</v>
      </c>
      <c r="M126" s="2613">
        <f>E126+I126+J126+K126+L126+N126</f>
        <v>48545</v>
      </c>
      <c r="N126" s="2657">
        <v>0</v>
      </c>
      <c r="O126" s="2657">
        <v>0</v>
      </c>
      <c r="P126" s="2613"/>
      <c r="Q126" s="2613"/>
      <c r="R126" s="2613"/>
      <c r="S126" s="2613"/>
      <c r="T126" s="2613"/>
      <c r="U126" s="2613"/>
      <c r="V126" s="2613"/>
      <c r="W126" s="2613"/>
      <c r="X126" s="2634">
        <f>+P126+Q126+R126+S126</f>
        <v>0</v>
      </c>
      <c r="Y126" s="4556"/>
    </row>
    <row r="127" spans="1:25" ht="13.5" customHeight="1">
      <c r="A127" s="4554"/>
      <c r="B127" s="381" t="s">
        <v>34</v>
      </c>
      <c r="C127" s="2646"/>
      <c r="D127" s="2606">
        <f t="shared" ref="D127:N127" si="186">+D128+D130</f>
        <v>64726</v>
      </c>
      <c r="E127" s="2628">
        <f t="shared" si="186"/>
        <v>0</v>
      </c>
      <c r="F127" s="2606">
        <f t="shared" si="186"/>
        <v>0</v>
      </c>
      <c r="G127" s="2606">
        <f t="shared" si="186"/>
        <v>0</v>
      </c>
      <c r="H127" s="2606">
        <f t="shared" si="186"/>
        <v>2048965</v>
      </c>
      <c r="I127" s="2606">
        <f t="shared" si="186"/>
        <v>64726</v>
      </c>
      <c r="J127" s="2628">
        <f t="shared" si="186"/>
        <v>0</v>
      </c>
      <c r="K127" s="2628">
        <f t="shared" si="186"/>
        <v>0</v>
      </c>
      <c r="L127" s="2629">
        <f t="shared" si="186"/>
        <v>0</v>
      </c>
      <c r="M127" s="2606">
        <f t="shared" ref="M127" si="187">+M128+M130</f>
        <v>64726</v>
      </c>
      <c r="N127" s="2647">
        <f t="shared" si="186"/>
        <v>0</v>
      </c>
      <c r="O127" s="2647">
        <f>+O128+O130</f>
        <v>0</v>
      </c>
      <c r="P127" s="2648"/>
      <c r="Q127" s="2648"/>
      <c r="R127" s="2648"/>
      <c r="S127" s="2648"/>
      <c r="T127" s="2648"/>
      <c r="U127" s="2648"/>
      <c r="V127" s="2648"/>
      <c r="W127" s="2648"/>
      <c r="X127" s="4584" t="s">
        <v>77</v>
      </c>
      <c r="Y127" s="4556"/>
    </row>
    <row r="128" spans="1:25" ht="12.75" customHeight="1">
      <c r="A128" s="4554"/>
      <c r="B128" s="2609" t="s">
        <v>23</v>
      </c>
      <c r="C128" s="4583" t="s">
        <v>253</v>
      </c>
      <c r="D128" s="2611">
        <f>+D129</f>
        <v>16181</v>
      </c>
      <c r="E128" s="2636">
        <f t="shared" ref="E128:O128" si="188">+E129</f>
        <v>0</v>
      </c>
      <c r="F128" s="2611">
        <f t="shared" si="188"/>
        <v>0</v>
      </c>
      <c r="G128" s="2611">
        <f t="shared" si="188"/>
        <v>0</v>
      </c>
      <c r="H128" s="2611">
        <f t="shared" si="188"/>
        <v>610858</v>
      </c>
      <c r="I128" s="2611">
        <f t="shared" si="188"/>
        <v>16181</v>
      </c>
      <c r="J128" s="2636">
        <f t="shared" si="188"/>
        <v>0</v>
      </c>
      <c r="K128" s="2636">
        <f t="shared" si="188"/>
        <v>0</v>
      </c>
      <c r="L128" s="2641">
        <f t="shared" si="188"/>
        <v>0</v>
      </c>
      <c r="M128" s="2611">
        <f t="shared" si="188"/>
        <v>16181</v>
      </c>
      <c r="N128" s="2636">
        <f t="shared" si="188"/>
        <v>0</v>
      </c>
      <c r="O128" s="2636">
        <f t="shared" si="188"/>
        <v>0</v>
      </c>
      <c r="P128" s="2611"/>
      <c r="Q128" s="2611"/>
      <c r="R128" s="2611"/>
      <c r="S128" s="2611"/>
      <c r="T128" s="2611"/>
      <c r="U128" s="2611"/>
      <c r="V128" s="2611"/>
      <c r="W128" s="2611"/>
      <c r="X128" s="4584"/>
      <c r="Y128" s="4556"/>
    </row>
    <row r="129" spans="1:27" ht="12.75" customHeight="1">
      <c r="A129" s="4554"/>
      <c r="B129" s="510" t="s">
        <v>26</v>
      </c>
      <c r="C129" s="4583"/>
      <c r="D129" s="2107">
        <f>M129+O129+P129+Q129+R129+S129+T129</f>
        <v>16181</v>
      </c>
      <c r="E129" s="2635">
        <v>0</v>
      </c>
      <c r="F129" s="2617"/>
      <c r="G129" s="2617"/>
      <c r="H129" s="2617">
        <v>610858</v>
      </c>
      <c r="I129" s="2613">
        <v>16181</v>
      </c>
      <c r="J129" s="2633">
        <v>0</v>
      </c>
      <c r="K129" s="2633">
        <v>0</v>
      </c>
      <c r="L129" s="2642">
        <f>10000-10000</f>
        <v>0</v>
      </c>
      <c r="M129" s="2613">
        <f>E129+I129+J129+K129+L129+N129</f>
        <v>16181</v>
      </c>
      <c r="N129" s="2657">
        <v>0</v>
      </c>
      <c r="O129" s="2657">
        <v>0</v>
      </c>
      <c r="P129" s="2613"/>
      <c r="Q129" s="2613"/>
      <c r="R129" s="2613"/>
      <c r="S129" s="2613"/>
      <c r="T129" s="2613"/>
      <c r="U129" s="2613"/>
      <c r="V129" s="2613"/>
      <c r="W129" s="2613"/>
      <c r="X129" s="4584"/>
      <c r="Y129" s="4556"/>
    </row>
    <row r="130" spans="1:27" ht="12.75" customHeight="1">
      <c r="A130" s="4554"/>
      <c r="B130" s="2652" t="s">
        <v>30</v>
      </c>
      <c r="C130" s="4583"/>
      <c r="D130" s="2611">
        <f>+D131</f>
        <v>48545</v>
      </c>
      <c r="E130" s="2636">
        <f t="shared" ref="E130:O130" si="189">+E131</f>
        <v>0</v>
      </c>
      <c r="F130" s="2611">
        <f t="shared" si="189"/>
        <v>0</v>
      </c>
      <c r="G130" s="2611">
        <f t="shared" si="189"/>
        <v>0</v>
      </c>
      <c r="H130" s="2611">
        <f t="shared" si="189"/>
        <v>1438107</v>
      </c>
      <c r="I130" s="2611">
        <f t="shared" si="189"/>
        <v>48545</v>
      </c>
      <c r="J130" s="2636">
        <f t="shared" si="189"/>
        <v>0</v>
      </c>
      <c r="K130" s="2636">
        <f t="shared" si="189"/>
        <v>0</v>
      </c>
      <c r="L130" s="2641">
        <f t="shared" si="189"/>
        <v>0</v>
      </c>
      <c r="M130" s="2611">
        <f t="shared" si="189"/>
        <v>48545</v>
      </c>
      <c r="N130" s="2636">
        <f t="shared" si="189"/>
        <v>0</v>
      </c>
      <c r="O130" s="2636">
        <f t="shared" si="189"/>
        <v>0</v>
      </c>
      <c r="P130" s="2611"/>
      <c r="Q130" s="2611"/>
      <c r="R130" s="2611"/>
      <c r="S130" s="2611"/>
      <c r="T130" s="2611"/>
      <c r="U130" s="2611"/>
      <c r="V130" s="2611"/>
      <c r="W130" s="2611"/>
      <c r="X130" s="4584"/>
      <c r="Y130" s="4556"/>
    </row>
    <row r="131" spans="1:27" ht="12.75" customHeight="1">
      <c r="A131" s="4554"/>
      <c r="B131" s="510" t="s">
        <v>26</v>
      </c>
      <c r="C131" s="4583"/>
      <c r="D131" s="2107">
        <f>M131+O131+P131+Q131+R131+S131+T131</f>
        <v>48545</v>
      </c>
      <c r="E131" s="2635">
        <v>0</v>
      </c>
      <c r="F131" s="2659"/>
      <c r="G131" s="2659"/>
      <c r="H131" s="2659">
        <v>1438107</v>
      </c>
      <c r="I131" s="2613">
        <f>48545</f>
        <v>48545</v>
      </c>
      <c r="J131" s="2633">
        <v>0</v>
      </c>
      <c r="K131" s="2633">
        <v>0</v>
      </c>
      <c r="L131" s="2642">
        <f>30000-30000</f>
        <v>0</v>
      </c>
      <c r="M131" s="2613">
        <f>E131+I131+J131+K131+L131+N131</f>
        <v>48545</v>
      </c>
      <c r="N131" s="2657">
        <v>0</v>
      </c>
      <c r="O131" s="2657">
        <v>0</v>
      </c>
      <c r="P131" s="2613"/>
      <c r="Q131" s="2613"/>
      <c r="R131" s="2613"/>
      <c r="S131" s="2613"/>
      <c r="T131" s="2613"/>
      <c r="U131" s="2613"/>
      <c r="V131" s="2613"/>
      <c r="W131" s="2613"/>
      <c r="X131" s="4584"/>
      <c r="Y131" s="4557"/>
    </row>
    <row r="132" spans="1:27" s="848" customFormat="1" ht="30" hidden="1" customHeight="1">
      <c r="A132" s="4578"/>
      <c r="B132" s="2515"/>
      <c r="C132" s="2499" t="s">
        <v>131</v>
      </c>
      <c r="D132" s="1313"/>
      <c r="E132" s="1313"/>
      <c r="F132" s="1313"/>
      <c r="G132" s="1313"/>
      <c r="H132" s="1313"/>
      <c r="I132" s="1313"/>
      <c r="J132" s="1313"/>
      <c r="K132" s="1313"/>
      <c r="L132" s="1313"/>
      <c r="M132" s="1313"/>
      <c r="N132" s="2516"/>
      <c r="O132" s="2516"/>
      <c r="P132" s="2517"/>
      <c r="Q132" s="2517"/>
      <c r="R132" s="2517"/>
      <c r="S132" s="2517"/>
      <c r="T132" s="2517"/>
      <c r="U132" s="2517"/>
      <c r="V132" s="2517"/>
      <c r="W132" s="2517"/>
      <c r="X132" s="2518"/>
      <c r="Y132" s="4580" t="s">
        <v>132</v>
      </c>
    </row>
    <row r="133" spans="1:27" s="848" customFormat="1" ht="16.5" hidden="1" customHeight="1">
      <c r="A133" s="4579"/>
      <c r="B133" s="2519" t="s">
        <v>22</v>
      </c>
      <c r="C133" s="2484"/>
      <c r="D133" s="1581">
        <f>+D134</f>
        <v>0</v>
      </c>
      <c r="E133" s="1581">
        <f t="shared" ref="E133:O133" si="190">+E134</f>
        <v>0</v>
      </c>
      <c r="F133" s="1581">
        <f t="shared" si="190"/>
        <v>0</v>
      </c>
      <c r="G133" s="1581">
        <f t="shared" si="190"/>
        <v>0</v>
      </c>
      <c r="H133" s="1581">
        <f t="shared" si="190"/>
        <v>0</v>
      </c>
      <c r="I133" s="1581">
        <f t="shared" si="190"/>
        <v>0</v>
      </c>
      <c r="J133" s="1581">
        <f t="shared" si="190"/>
        <v>0</v>
      </c>
      <c r="K133" s="1581">
        <f t="shared" si="190"/>
        <v>0</v>
      </c>
      <c r="L133" s="1581">
        <f t="shared" si="190"/>
        <v>0</v>
      </c>
      <c r="M133" s="1581">
        <f t="shared" si="190"/>
        <v>0</v>
      </c>
      <c r="N133" s="1581">
        <f t="shared" si="190"/>
        <v>0</v>
      </c>
      <c r="O133" s="1581">
        <f t="shared" si="190"/>
        <v>0</v>
      </c>
      <c r="P133" s="1581"/>
      <c r="Q133" s="1581"/>
      <c r="R133" s="2520"/>
      <c r="S133" s="2520"/>
      <c r="T133" s="2520"/>
      <c r="U133" s="2520"/>
      <c r="V133" s="2520"/>
      <c r="W133" s="2520"/>
      <c r="X133" s="2477">
        <f>+X134</f>
        <v>0</v>
      </c>
      <c r="Y133" s="4580"/>
      <c r="Z133" s="2495"/>
      <c r="AA133" s="2495"/>
    </row>
    <row r="134" spans="1:27" s="848" customFormat="1" ht="14.25" hidden="1" customHeight="1">
      <c r="A134" s="4579"/>
      <c r="B134" s="2521" t="s">
        <v>30</v>
      </c>
      <c r="C134" s="4566" t="s">
        <v>256</v>
      </c>
      <c r="D134" s="2522">
        <f t="shared" ref="D134:X134" si="191">+D135</f>
        <v>0</v>
      </c>
      <c r="E134" s="2522">
        <f t="shared" si="191"/>
        <v>0</v>
      </c>
      <c r="F134" s="2522">
        <f t="shared" si="191"/>
        <v>0</v>
      </c>
      <c r="G134" s="2522">
        <f t="shared" si="191"/>
        <v>0</v>
      </c>
      <c r="H134" s="2522">
        <f t="shared" si="191"/>
        <v>0</v>
      </c>
      <c r="I134" s="2522">
        <f t="shared" si="191"/>
        <v>0</v>
      </c>
      <c r="J134" s="2522">
        <f t="shared" si="191"/>
        <v>0</v>
      </c>
      <c r="K134" s="2522">
        <f t="shared" si="191"/>
        <v>0</v>
      </c>
      <c r="L134" s="2522">
        <f t="shared" si="191"/>
        <v>0</v>
      </c>
      <c r="M134" s="2522">
        <f t="shared" si="191"/>
        <v>0</v>
      </c>
      <c r="N134" s="508">
        <f>N135</f>
        <v>0</v>
      </c>
      <c r="O134" s="508">
        <f>O135</f>
        <v>0</v>
      </c>
      <c r="P134" s="508"/>
      <c r="Q134" s="508"/>
      <c r="R134" s="508"/>
      <c r="S134" s="508"/>
      <c r="T134" s="508"/>
      <c r="U134" s="508"/>
      <c r="V134" s="508"/>
      <c r="W134" s="508"/>
      <c r="X134" s="2503">
        <f t="shared" si="191"/>
        <v>0</v>
      </c>
      <c r="Y134" s="4540"/>
    </row>
    <row r="135" spans="1:27" s="848" customFormat="1" ht="13.5" hidden="1" customHeight="1" thickBot="1">
      <c r="A135" s="4579"/>
      <c r="B135" s="2523" t="s">
        <v>32</v>
      </c>
      <c r="C135" s="4130"/>
      <c r="D135" s="2491">
        <v>0</v>
      </c>
      <c r="E135" s="2524">
        <v>0</v>
      </c>
      <c r="F135" s="2524">
        <v>0</v>
      </c>
      <c r="G135" s="2524"/>
      <c r="H135" s="2524"/>
      <c r="I135" s="2524">
        <v>0</v>
      </c>
      <c r="J135" s="2524">
        <v>0</v>
      </c>
      <c r="K135" s="2524">
        <v>0</v>
      </c>
      <c r="L135" s="2524">
        <v>0</v>
      </c>
      <c r="M135" s="2492">
        <f t="shared" ref="M135" si="192">E135+I135+J135+K135+L135</f>
        <v>0</v>
      </c>
      <c r="N135" s="2498">
        <v>0</v>
      </c>
      <c r="O135" s="2498">
        <f>7680-7680</f>
        <v>0</v>
      </c>
      <c r="P135" s="2498"/>
      <c r="Q135" s="2498"/>
      <c r="R135" s="2498"/>
      <c r="S135" s="2498"/>
      <c r="T135" s="2498"/>
      <c r="U135" s="2498"/>
      <c r="V135" s="2498"/>
      <c r="W135" s="2498"/>
      <c r="X135" s="2494">
        <f>SUM(P135:T135)</f>
        <v>0</v>
      </c>
      <c r="Y135" s="4540"/>
    </row>
    <row r="136" spans="1:27" s="848" customFormat="1" ht="15.75" hidden="1" customHeight="1">
      <c r="A136" s="4579"/>
      <c r="B136" s="2488" t="s">
        <v>34</v>
      </c>
      <c r="C136" s="2484"/>
      <c r="D136" s="1581">
        <f>+D137</f>
        <v>0</v>
      </c>
      <c r="E136" s="1581">
        <f t="shared" ref="E136:N137" si="193">+E137</f>
        <v>0</v>
      </c>
      <c r="F136" s="1581">
        <f t="shared" si="193"/>
        <v>0</v>
      </c>
      <c r="G136" s="1581">
        <f t="shared" si="193"/>
        <v>0</v>
      </c>
      <c r="H136" s="1581">
        <f t="shared" si="193"/>
        <v>0</v>
      </c>
      <c r="I136" s="1581">
        <f t="shared" si="193"/>
        <v>0</v>
      </c>
      <c r="J136" s="1581">
        <f t="shared" si="193"/>
        <v>0</v>
      </c>
      <c r="K136" s="1581">
        <f t="shared" si="193"/>
        <v>0</v>
      </c>
      <c r="L136" s="1581">
        <f t="shared" si="193"/>
        <v>0</v>
      </c>
      <c r="M136" s="1581">
        <f t="shared" si="193"/>
        <v>0</v>
      </c>
      <c r="N136" s="1581">
        <f t="shared" si="193"/>
        <v>0</v>
      </c>
      <c r="O136" s="1581">
        <f>O137</f>
        <v>0</v>
      </c>
      <c r="P136" s="1581"/>
      <c r="Q136" s="1581"/>
      <c r="R136" s="2520"/>
      <c r="S136" s="2520"/>
      <c r="T136" s="2520"/>
      <c r="U136" s="2520"/>
      <c r="V136" s="2520"/>
      <c r="W136" s="2520"/>
      <c r="X136" s="4003" t="s">
        <v>77</v>
      </c>
      <c r="Y136" s="4540"/>
    </row>
    <row r="137" spans="1:27" s="848" customFormat="1" ht="12.75" hidden="1" customHeight="1">
      <c r="A137" s="4579"/>
      <c r="B137" s="2521" t="s">
        <v>30</v>
      </c>
      <c r="C137" s="4566" t="s">
        <v>256</v>
      </c>
      <c r="D137" s="2522">
        <f>+D138</f>
        <v>0</v>
      </c>
      <c r="E137" s="2522">
        <f t="shared" si="193"/>
        <v>0</v>
      </c>
      <c r="F137" s="2522">
        <f t="shared" si="193"/>
        <v>0</v>
      </c>
      <c r="G137" s="2522">
        <f t="shared" si="193"/>
        <v>0</v>
      </c>
      <c r="H137" s="2522">
        <f t="shared" si="193"/>
        <v>0</v>
      </c>
      <c r="I137" s="2522">
        <f t="shared" si="193"/>
        <v>0</v>
      </c>
      <c r="J137" s="2522">
        <f t="shared" si="193"/>
        <v>0</v>
      </c>
      <c r="K137" s="2522">
        <f t="shared" si="193"/>
        <v>0</v>
      </c>
      <c r="L137" s="2522">
        <f t="shared" si="193"/>
        <v>0</v>
      </c>
      <c r="M137" s="2522">
        <f t="shared" si="193"/>
        <v>0</v>
      </c>
      <c r="N137" s="1556">
        <f t="shared" si="193"/>
        <v>0</v>
      </c>
      <c r="O137" s="1556">
        <f>O138</f>
        <v>0</v>
      </c>
      <c r="P137" s="1556"/>
      <c r="Q137" s="1556"/>
      <c r="R137" s="1556"/>
      <c r="S137" s="1556"/>
      <c r="T137" s="1556"/>
      <c r="U137" s="1556"/>
      <c r="V137" s="1556"/>
      <c r="W137" s="1556"/>
      <c r="X137" s="4003"/>
      <c r="Y137" s="4540"/>
    </row>
    <row r="138" spans="1:27" s="848" customFormat="1" ht="15.75" hidden="1" customHeight="1" thickBot="1">
      <c r="A138" s="4579"/>
      <c r="B138" s="2523" t="s">
        <v>32</v>
      </c>
      <c r="C138" s="4130"/>
      <c r="D138" s="2491">
        <v>0</v>
      </c>
      <c r="E138" s="2525">
        <v>0</v>
      </c>
      <c r="F138" s="2525"/>
      <c r="G138" s="2525"/>
      <c r="H138" s="2525"/>
      <c r="I138" s="2525">
        <v>0</v>
      </c>
      <c r="J138" s="2525">
        <v>0</v>
      </c>
      <c r="K138" s="2525">
        <f>20000-2100-17900</f>
        <v>0</v>
      </c>
      <c r="L138" s="2525">
        <v>0</v>
      </c>
      <c r="M138" s="2492">
        <f t="shared" ref="M138" si="194">E138+I138+J138+K138+L138</f>
        <v>0</v>
      </c>
      <c r="N138" s="2526">
        <v>0</v>
      </c>
      <c r="O138" s="2526">
        <v>0</v>
      </c>
      <c r="P138" s="2526"/>
      <c r="Q138" s="2526"/>
      <c r="R138" s="2526"/>
      <c r="S138" s="2526"/>
      <c r="T138" s="2526"/>
      <c r="U138" s="2526"/>
      <c r="V138" s="2526"/>
      <c r="W138" s="2526"/>
      <c r="X138" s="4003"/>
      <c r="Y138" s="4540"/>
    </row>
    <row r="139" spans="1:27" ht="14.25" customHeight="1">
      <c r="A139" s="4569" t="s">
        <v>106</v>
      </c>
      <c r="B139" s="2739" t="s">
        <v>427</v>
      </c>
      <c r="C139" s="3135" t="s">
        <v>131</v>
      </c>
      <c r="D139" s="3135"/>
      <c r="E139" s="3135"/>
      <c r="F139" s="3135"/>
      <c r="G139" s="3135"/>
      <c r="H139" s="3135"/>
      <c r="I139" s="3135"/>
      <c r="J139" s="3135"/>
      <c r="K139" s="3135"/>
      <c r="L139" s="3135"/>
      <c r="M139" s="3135"/>
      <c r="N139" s="3135"/>
      <c r="O139" s="2385"/>
      <c r="P139" s="2385"/>
      <c r="Q139" s="2385"/>
      <c r="R139" s="2385"/>
      <c r="S139" s="2385"/>
      <c r="T139" s="2385"/>
      <c r="U139" s="2385"/>
      <c r="V139" s="2385"/>
      <c r="W139" s="2385"/>
      <c r="X139" s="3136"/>
      <c r="Y139" s="4571" t="s">
        <v>252</v>
      </c>
    </row>
    <row r="140" spans="1:27" ht="13.5" customHeight="1">
      <c r="A140" s="4569"/>
      <c r="B140" s="2275" t="s">
        <v>22</v>
      </c>
      <c r="C140" s="2740"/>
      <c r="D140" s="3137">
        <f t="shared" ref="D140:S140" si="195">+D141+D144</f>
        <v>15634617</v>
      </c>
      <c r="E140" s="3137">
        <f t="shared" si="195"/>
        <v>0</v>
      </c>
      <c r="F140" s="3137">
        <f t="shared" si="195"/>
        <v>0</v>
      </c>
      <c r="G140" s="3137">
        <f t="shared" si="195"/>
        <v>0</v>
      </c>
      <c r="H140" s="3137">
        <f t="shared" si="195"/>
        <v>0</v>
      </c>
      <c r="I140" s="3137">
        <f t="shared" si="195"/>
        <v>0</v>
      </c>
      <c r="J140" s="3137">
        <f t="shared" si="195"/>
        <v>0</v>
      </c>
      <c r="K140" s="3137">
        <f t="shared" si="195"/>
        <v>0</v>
      </c>
      <c r="L140" s="3137">
        <f t="shared" si="195"/>
        <v>0</v>
      </c>
      <c r="M140" s="3137">
        <f t="shared" ref="M140" si="196">+M141+M144</f>
        <v>0</v>
      </c>
      <c r="N140" s="3137">
        <f t="shared" si="195"/>
        <v>0</v>
      </c>
      <c r="O140" s="2917">
        <f t="shared" si="195"/>
        <v>2071007</v>
      </c>
      <c r="P140" s="2917">
        <f t="shared" si="195"/>
        <v>5500000</v>
      </c>
      <c r="Q140" s="2917">
        <f t="shared" si="195"/>
        <v>3063610</v>
      </c>
      <c r="R140" s="2917">
        <f t="shared" si="195"/>
        <v>2500000</v>
      </c>
      <c r="S140" s="2917">
        <f t="shared" si="195"/>
        <v>2500000</v>
      </c>
      <c r="T140" s="2917"/>
      <c r="U140" s="2917"/>
      <c r="V140" s="2917"/>
      <c r="W140" s="2917"/>
      <c r="X140" s="3138">
        <f>+X141+X144</f>
        <v>13563610</v>
      </c>
      <c r="Y140" s="4571"/>
    </row>
    <row r="141" spans="1:27" ht="13.5" customHeight="1">
      <c r="A141" s="4569"/>
      <c r="B141" s="2742" t="s">
        <v>23</v>
      </c>
      <c r="C141" s="4573" t="s">
        <v>253</v>
      </c>
      <c r="D141" s="3139">
        <f>+D142+D143</f>
        <v>5686330</v>
      </c>
      <c r="E141" s="3139">
        <f t="shared" ref="E141:S141" si="197">+E142+E143</f>
        <v>0</v>
      </c>
      <c r="F141" s="3139">
        <f t="shared" si="197"/>
        <v>0</v>
      </c>
      <c r="G141" s="3139">
        <f t="shared" si="197"/>
        <v>0</v>
      </c>
      <c r="H141" s="3139">
        <f t="shared" si="197"/>
        <v>0</v>
      </c>
      <c r="I141" s="3139">
        <f t="shared" si="197"/>
        <v>0</v>
      </c>
      <c r="J141" s="3139">
        <f t="shared" si="197"/>
        <v>0</v>
      </c>
      <c r="K141" s="3139">
        <f t="shared" si="197"/>
        <v>0</v>
      </c>
      <c r="L141" s="3139">
        <f t="shared" si="197"/>
        <v>0</v>
      </c>
      <c r="M141" s="3139">
        <f t="shared" ref="M141" si="198">+M142+M143</f>
        <v>0</v>
      </c>
      <c r="N141" s="3139">
        <f t="shared" si="197"/>
        <v>0</v>
      </c>
      <c r="O141" s="2914">
        <f t="shared" si="197"/>
        <v>753226</v>
      </c>
      <c r="P141" s="2914">
        <f t="shared" si="197"/>
        <v>2000000</v>
      </c>
      <c r="Q141" s="2914">
        <f t="shared" si="197"/>
        <v>1114604</v>
      </c>
      <c r="R141" s="2914">
        <f t="shared" si="197"/>
        <v>909250</v>
      </c>
      <c r="S141" s="2914">
        <f t="shared" si="197"/>
        <v>909250</v>
      </c>
      <c r="T141" s="2914"/>
      <c r="U141" s="2914"/>
      <c r="V141" s="2914"/>
      <c r="W141" s="2914"/>
      <c r="X141" s="3140">
        <f>SUM(X142:X143)</f>
        <v>4933104</v>
      </c>
      <c r="Y141" s="4571"/>
    </row>
    <row r="142" spans="1:27" ht="13.5" hidden="1" customHeight="1">
      <c r="A142" s="4569"/>
      <c r="B142" s="2426" t="s">
        <v>24</v>
      </c>
      <c r="C142" s="4573"/>
      <c r="D142" s="3141">
        <f>M142+O142+P142+Q142+R142+S142+T142</f>
        <v>0</v>
      </c>
      <c r="E142" s="3142">
        <v>0</v>
      </c>
      <c r="F142" s="3142"/>
      <c r="G142" s="3142"/>
      <c r="H142" s="3142"/>
      <c r="I142" s="3142">
        <v>0</v>
      </c>
      <c r="J142" s="3142">
        <v>0</v>
      </c>
      <c r="K142" s="3142">
        <v>0</v>
      </c>
      <c r="L142" s="3142">
        <v>0</v>
      </c>
      <c r="M142" s="3143">
        <f>E142+I142+J142+K142+L142+N142</f>
        <v>0</v>
      </c>
      <c r="N142" s="3142">
        <v>0</v>
      </c>
      <c r="O142" s="3143">
        <f>250000-250000</f>
        <v>0</v>
      </c>
      <c r="P142" s="3143">
        <f>500000-500000</f>
        <v>0</v>
      </c>
      <c r="Q142" s="3143">
        <f>450000-450000</f>
        <v>0</v>
      </c>
      <c r="R142" s="3143">
        <f>500000-500000</f>
        <v>0</v>
      </c>
      <c r="S142" s="3143">
        <v>0</v>
      </c>
      <c r="T142" s="3143"/>
      <c r="U142" s="3143"/>
      <c r="V142" s="3143"/>
      <c r="W142" s="3143"/>
      <c r="X142" s="3144">
        <f>SUM(P142:T142)</f>
        <v>0</v>
      </c>
      <c r="Y142" s="4571"/>
    </row>
    <row r="143" spans="1:27" ht="13.5" customHeight="1">
      <c r="A143" s="4569"/>
      <c r="B143" s="2746" t="s">
        <v>439</v>
      </c>
      <c r="C143" s="4573"/>
      <c r="D143" s="3141">
        <f>M143+O143+P143+Q143+R143+S143+T143</f>
        <v>5686330</v>
      </c>
      <c r="E143" s="3142">
        <v>0</v>
      </c>
      <c r="F143" s="3142"/>
      <c r="G143" s="3142"/>
      <c r="H143" s="3142">
        <v>0</v>
      </c>
      <c r="I143" s="3142">
        <v>0</v>
      </c>
      <c r="J143" s="3142">
        <v>0</v>
      </c>
      <c r="K143" s="3142">
        <v>0</v>
      </c>
      <c r="L143" s="3142">
        <v>0</v>
      </c>
      <c r="M143" s="3143">
        <f>E143+I143+J143+K143+L143+N143</f>
        <v>0</v>
      </c>
      <c r="N143" s="3142">
        <v>0</v>
      </c>
      <c r="O143" s="3143">
        <f>1455000-496420-205354</f>
        <v>753226</v>
      </c>
      <c r="P143" s="3143">
        <f>2910000-909650-350</f>
        <v>2000000</v>
      </c>
      <c r="Q143" s="3143">
        <f>2546000-1636750+205354</f>
        <v>1114604</v>
      </c>
      <c r="R143" s="3143">
        <f>2910000-2000750</f>
        <v>909250</v>
      </c>
      <c r="S143" s="3143">
        <v>909250</v>
      </c>
      <c r="T143" s="3143"/>
      <c r="U143" s="3143"/>
      <c r="V143" s="3143"/>
      <c r="W143" s="3143"/>
      <c r="X143" s="3144">
        <f>SUM(P143:T143)</f>
        <v>4933104</v>
      </c>
      <c r="Y143" s="4571"/>
    </row>
    <row r="144" spans="1:27" ht="13.5" customHeight="1">
      <c r="A144" s="4569"/>
      <c r="B144" s="2747" t="s">
        <v>30</v>
      </c>
      <c r="C144" s="4573"/>
      <c r="D144" s="3139">
        <f>+D145</f>
        <v>9948287</v>
      </c>
      <c r="E144" s="3139">
        <f t="shared" ref="E144:S144" si="199">+E145</f>
        <v>0</v>
      </c>
      <c r="F144" s="3139">
        <f t="shared" si="199"/>
        <v>0</v>
      </c>
      <c r="G144" s="3139">
        <f t="shared" si="199"/>
        <v>0</v>
      </c>
      <c r="H144" s="3139">
        <f t="shared" si="199"/>
        <v>0</v>
      </c>
      <c r="I144" s="3139">
        <f t="shared" si="199"/>
        <v>0</v>
      </c>
      <c r="J144" s="3139">
        <f t="shared" si="199"/>
        <v>0</v>
      </c>
      <c r="K144" s="3139">
        <f t="shared" si="199"/>
        <v>0</v>
      </c>
      <c r="L144" s="3139">
        <f t="shared" si="199"/>
        <v>0</v>
      </c>
      <c r="M144" s="3139">
        <f t="shared" si="199"/>
        <v>0</v>
      </c>
      <c r="N144" s="3139">
        <f t="shared" si="199"/>
        <v>0</v>
      </c>
      <c r="O144" s="3139">
        <f t="shared" si="199"/>
        <v>1317781</v>
      </c>
      <c r="P144" s="3139">
        <f t="shared" si="199"/>
        <v>3500000</v>
      </c>
      <c r="Q144" s="3139">
        <f t="shared" si="199"/>
        <v>1949006</v>
      </c>
      <c r="R144" s="3139">
        <f t="shared" si="199"/>
        <v>1590750</v>
      </c>
      <c r="S144" s="3139">
        <f t="shared" si="199"/>
        <v>1590750</v>
      </c>
      <c r="T144" s="3139"/>
      <c r="U144" s="3139"/>
      <c r="V144" s="3139"/>
      <c r="W144" s="3139"/>
      <c r="X144" s="3145">
        <f>+X145</f>
        <v>8630506</v>
      </c>
      <c r="Y144" s="4571"/>
    </row>
    <row r="145" spans="1:25" ht="13.5" customHeight="1">
      <c r="A145" s="4569"/>
      <c r="B145" s="2746" t="s">
        <v>440</v>
      </c>
      <c r="C145" s="4573"/>
      <c r="D145" s="3141">
        <f>M145+O145+P145+Q145+R145+S145+T145</f>
        <v>9948287</v>
      </c>
      <c r="E145" s="3142">
        <v>0</v>
      </c>
      <c r="F145" s="3142"/>
      <c r="G145" s="3142"/>
      <c r="H145" s="3142">
        <v>0</v>
      </c>
      <c r="I145" s="3142">
        <v>0</v>
      </c>
      <c r="J145" s="3142">
        <v>0</v>
      </c>
      <c r="K145" s="3142">
        <v>0</v>
      </c>
      <c r="L145" s="3142">
        <v>0</v>
      </c>
      <c r="M145" s="3143">
        <f>E145+I145+J145+K145+L145+N145</f>
        <v>0</v>
      </c>
      <c r="N145" s="3142">
        <v>0</v>
      </c>
      <c r="O145" s="3143">
        <f>2545000-868963-358256</f>
        <v>1317781</v>
      </c>
      <c r="P145" s="3143">
        <f>5090000-1590350+350</f>
        <v>3500000</v>
      </c>
      <c r="Q145" s="3143">
        <f>4454000-2863250+358256</f>
        <v>1949006</v>
      </c>
      <c r="R145" s="3143">
        <f>5090000-3499250</f>
        <v>1590750</v>
      </c>
      <c r="S145" s="3143">
        <v>1590750</v>
      </c>
      <c r="T145" s="3143"/>
      <c r="U145" s="3143"/>
      <c r="V145" s="3143"/>
      <c r="W145" s="3143"/>
      <c r="X145" s="3144">
        <f>SUM(P145:T145)</f>
        <v>8630506</v>
      </c>
      <c r="Y145" s="4571"/>
    </row>
    <row r="146" spans="1:25" ht="14.25" customHeight="1">
      <c r="A146" s="4569"/>
      <c r="B146" s="2275" t="s">
        <v>34</v>
      </c>
      <c r="C146" s="2740"/>
      <c r="D146" s="2917">
        <f>+D147+D150</f>
        <v>15634617</v>
      </c>
      <c r="E146" s="2917">
        <f>+E147+E150</f>
        <v>0</v>
      </c>
      <c r="F146" s="2917"/>
      <c r="G146" s="2917"/>
      <c r="H146" s="2917"/>
      <c r="I146" s="2917">
        <f t="shared" ref="I146:S146" si="200">+I147+I150</f>
        <v>0</v>
      </c>
      <c r="J146" s="2917">
        <f t="shared" si="200"/>
        <v>0</v>
      </c>
      <c r="K146" s="2917">
        <f t="shared" si="200"/>
        <v>0</v>
      </c>
      <c r="L146" s="2917">
        <f t="shared" si="200"/>
        <v>0</v>
      </c>
      <c r="M146" s="2917">
        <f t="shared" ref="M146" si="201">+M147+M150</f>
        <v>0</v>
      </c>
      <c r="N146" s="2917">
        <f t="shared" si="200"/>
        <v>0</v>
      </c>
      <c r="O146" s="2917">
        <f t="shared" si="200"/>
        <v>2071007</v>
      </c>
      <c r="P146" s="2917">
        <f t="shared" si="200"/>
        <v>5500000</v>
      </c>
      <c r="Q146" s="2917">
        <f t="shared" si="200"/>
        <v>3063610</v>
      </c>
      <c r="R146" s="2917">
        <f t="shared" si="200"/>
        <v>2500000</v>
      </c>
      <c r="S146" s="2917">
        <f t="shared" si="200"/>
        <v>2500000</v>
      </c>
      <c r="T146" s="2917"/>
      <c r="U146" s="2917"/>
      <c r="V146" s="2917"/>
      <c r="W146" s="2917"/>
      <c r="X146" s="4576" t="s">
        <v>77</v>
      </c>
      <c r="Y146" s="4571"/>
    </row>
    <row r="147" spans="1:25" ht="13.5" customHeight="1">
      <c r="A147" s="4569"/>
      <c r="B147" s="2742" t="s">
        <v>23</v>
      </c>
      <c r="C147" s="4574" t="s">
        <v>253</v>
      </c>
      <c r="D147" s="3139">
        <f>+D148</f>
        <v>5686330</v>
      </c>
      <c r="E147" s="3139">
        <f t="shared" ref="E147:S147" si="202">+E148</f>
        <v>0</v>
      </c>
      <c r="F147" s="3139">
        <f t="shared" si="202"/>
        <v>0</v>
      </c>
      <c r="G147" s="3139">
        <f t="shared" si="202"/>
        <v>0</v>
      </c>
      <c r="H147" s="3139">
        <f t="shared" si="202"/>
        <v>0</v>
      </c>
      <c r="I147" s="3139">
        <f t="shared" si="202"/>
        <v>0</v>
      </c>
      <c r="J147" s="3139">
        <f t="shared" si="202"/>
        <v>0</v>
      </c>
      <c r="K147" s="3139">
        <f t="shared" si="202"/>
        <v>0</v>
      </c>
      <c r="L147" s="3139">
        <f t="shared" si="202"/>
        <v>0</v>
      </c>
      <c r="M147" s="3139">
        <f t="shared" si="202"/>
        <v>0</v>
      </c>
      <c r="N147" s="3139">
        <f t="shared" si="202"/>
        <v>0</v>
      </c>
      <c r="O147" s="2914">
        <f t="shared" si="202"/>
        <v>753226</v>
      </c>
      <c r="P147" s="2914">
        <f t="shared" si="202"/>
        <v>2000000</v>
      </c>
      <c r="Q147" s="2914">
        <f t="shared" si="202"/>
        <v>1114604</v>
      </c>
      <c r="R147" s="2914">
        <f t="shared" si="202"/>
        <v>909250</v>
      </c>
      <c r="S147" s="2914">
        <f t="shared" si="202"/>
        <v>909250</v>
      </c>
      <c r="T147" s="2914"/>
      <c r="U147" s="2914"/>
      <c r="V147" s="2914"/>
      <c r="W147" s="2914"/>
      <c r="X147" s="4576"/>
      <c r="Y147" s="4571"/>
    </row>
    <row r="148" spans="1:25" ht="12.75" customHeight="1">
      <c r="A148" s="4569"/>
      <c r="B148" s="2746" t="s">
        <v>439</v>
      </c>
      <c r="C148" s="4574"/>
      <c r="D148" s="3141">
        <f>M148+O148+P148+Q148+R148+S148+T148</f>
        <v>5686330</v>
      </c>
      <c r="E148" s="3142">
        <v>0</v>
      </c>
      <c r="F148" s="3142"/>
      <c r="G148" s="3142"/>
      <c r="H148" s="3142"/>
      <c r="I148" s="3142">
        <v>0</v>
      </c>
      <c r="J148" s="3142">
        <v>0</v>
      </c>
      <c r="K148" s="3142">
        <v>0</v>
      </c>
      <c r="L148" s="3142">
        <v>0</v>
      </c>
      <c r="M148" s="3143">
        <f>E148+I148+J148+K148+L148+N148</f>
        <v>0</v>
      </c>
      <c r="N148" s="3142">
        <v>0</v>
      </c>
      <c r="O148" s="3143">
        <f>1455000-496420-205354</f>
        <v>753226</v>
      </c>
      <c r="P148" s="3143">
        <f>2910000-909650-350</f>
        <v>2000000</v>
      </c>
      <c r="Q148" s="3143">
        <f>2546000-1636750+205354</f>
        <v>1114604</v>
      </c>
      <c r="R148" s="3143">
        <f>2910000-2000750</f>
        <v>909250</v>
      </c>
      <c r="S148" s="3143">
        <v>909250</v>
      </c>
      <c r="T148" s="3143"/>
      <c r="U148" s="3143"/>
      <c r="V148" s="3143"/>
      <c r="W148" s="3143"/>
      <c r="X148" s="4576"/>
      <c r="Y148" s="4571"/>
    </row>
    <row r="149" spans="1:25" ht="11.25" hidden="1" customHeight="1">
      <c r="A149" s="4569"/>
      <c r="B149" s="2426" t="s">
        <v>37</v>
      </c>
      <c r="C149" s="4574"/>
      <c r="D149" s="3142">
        <f>+E149+I149+J149+K149+L149+N149</f>
        <v>0</v>
      </c>
      <c r="E149" s="3142">
        <v>0</v>
      </c>
      <c r="F149" s="3142"/>
      <c r="G149" s="3142"/>
      <c r="H149" s="3142"/>
      <c r="I149" s="3142"/>
      <c r="J149" s="3142"/>
      <c r="K149" s="3142">
        <v>0</v>
      </c>
      <c r="L149" s="3142">
        <v>0</v>
      </c>
      <c r="M149" s="3142">
        <v>0</v>
      </c>
      <c r="N149" s="3142"/>
      <c r="O149" s="3146"/>
      <c r="P149" s="3143"/>
      <c r="Q149" s="3143"/>
      <c r="R149" s="3143"/>
      <c r="S149" s="3143"/>
      <c r="T149" s="3143"/>
      <c r="U149" s="3143"/>
      <c r="V149" s="3143"/>
      <c r="W149" s="3143"/>
      <c r="X149" s="4576"/>
      <c r="Y149" s="4571"/>
    </row>
    <row r="150" spans="1:25" ht="12.75" customHeight="1">
      <c r="A150" s="4569"/>
      <c r="B150" s="2747" t="s">
        <v>30</v>
      </c>
      <c r="C150" s="4574"/>
      <c r="D150" s="3139">
        <f>+D151</f>
        <v>9948287</v>
      </c>
      <c r="E150" s="3139">
        <f t="shared" ref="E150:S150" si="203">+E151</f>
        <v>0</v>
      </c>
      <c r="F150" s="3139">
        <f t="shared" si="203"/>
        <v>0</v>
      </c>
      <c r="G150" s="3139">
        <f t="shared" si="203"/>
        <v>0</v>
      </c>
      <c r="H150" s="3139">
        <f t="shared" si="203"/>
        <v>0</v>
      </c>
      <c r="I150" s="3139">
        <f t="shared" si="203"/>
        <v>0</v>
      </c>
      <c r="J150" s="3139">
        <f t="shared" si="203"/>
        <v>0</v>
      </c>
      <c r="K150" s="3139">
        <f t="shared" si="203"/>
        <v>0</v>
      </c>
      <c r="L150" s="3139">
        <f t="shared" si="203"/>
        <v>0</v>
      </c>
      <c r="M150" s="3139">
        <f t="shared" si="203"/>
        <v>0</v>
      </c>
      <c r="N150" s="3139">
        <f t="shared" si="203"/>
        <v>0</v>
      </c>
      <c r="O150" s="2914">
        <f t="shared" si="203"/>
        <v>1317781</v>
      </c>
      <c r="P150" s="2914">
        <f t="shared" si="203"/>
        <v>3500000</v>
      </c>
      <c r="Q150" s="2914">
        <f t="shared" si="203"/>
        <v>1949006</v>
      </c>
      <c r="R150" s="2914">
        <f t="shared" si="203"/>
        <v>1590750</v>
      </c>
      <c r="S150" s="2914">
        <f t="shared" si="203"/>
        <v>1590750</v>
      </c>
      <c r="T150" s="2914"/>
      <c r="U150" s="2914"/>
      <c r="V150" s="2914"/>
      <c r="W150" s="2914"/>
      <c r="X150" s="4576"/>
      <c r="Y150" s="4571"/>
    </row>
    <row r="151" spans="1:25" ht="12.75" customHeight="1" thickBot="1">
      <c r="A151" s="4570"/>
      <c r="B151" s="3147" t="s">
        <v>440</v>
      </c>
      <c r="C151" s="4575"/>
      <c r="D151" s="3148">
        <f>M151+O151+P151+Q151+R151+S151+T151</f>
        <v>9948287</v>
      </c>
      <c r="E151" s="3148">
        <v>0</v>
      </c>
      <c r="F151" s="3148"/>
      <c r="G151" s="3148"/>
      <c r="H151" s="3148"/>
      <c r="I151" s="3148">
        <v>0</v>
      </c>
      <c r="J151" s="3148">
        <v>0</v>
      </c>
      <c r="K151" s="3148">
        <v>0</v>
      </c>
      <c r="L151" s="3148">
        <v>0</v>
      </c>
      <c r="M151" s="3149">
        <f>E151+I151+J151+K151+L151+N151</f>
        <v>0</v>
      </c>
      <c r="N151" s="3148">
        <v>0</v>
      </c>
      <c r="O151" s="3149">
        <f>2545000-868963-358256</f>
        <v>1317781</v>
      </c>
      <c r="P151" s="3149">
        <f>5090000-1590350+350</f>
        <v>3500000</v>
      </c>
      <c r="Q151" s="3149">
        <f>4454000-2863250+358256</f>
        <v>1949006</v>
      </c>
      <c r="R151" s="3149">
        <f>5090000-3499250</f>
        <v>1590750</v>
      </c>
      <c r="S151" s="3149">
        <v>1590750</v>
      </c>
      <c r="T151" s="3149"/>
      <c r="U151" s="3149"/>
      <c r="V151" s="3149"/>
      <c r="W151" s="3149"/>
      <c r="X151" s="4577"/>
      <c r="Y151" s="4572"/>
    </row>
    <row r="152" spans="1:25" ht="11.25" hidden="1" customHeight="1" thickBot="1">
      <c r="A152" s="2710"/>
      <c r="B152" s="2490" t="s">
        <v>32</v>
      </c>
      <c r="C152" s="2529"/>
      <c r="D152" s="2530">
        <f>+E152+I152+J152+K152+L152+N152</f>
        <v>0</v>
      </c>
      <c r="E152" s="2531">
        <v>0</v>
      </c>
      <c r="F152" s="2531"/>
      <c r="G152" s="2531"/>
      <c r="H152" s="2531"/>
      <c r="I152" s="2532"/>
      <c r="J152" s="2533"/>
      <c r="K152" s="2532"/>
      <c r="L152" s="2532"/>
      <c r="M152" s="2532"/>
      <c r="N152" s="2532"/>
      <c r="O152" s="2532"/>
      <c r="P152" s="2532"/>
      <c r="Q152" s="2532"/>
      <c r="R152" s="2532"/>
      <c r="S152" s="2532"/>
      <c r="T152" s="2532"/>
      <c r="U152" s="2532"/>
      <c r="V152" s="2532"/>
      <c r="W152" s="2532"/>
      <c r="X152" s="2534"/>
      <c r="Y152" s="2711"/>
    </row>
    <row r="153" spans="1:25" ht="27" hidden="1" customHeight="1">
      <c r="A153" s="4554" t="s">
        <v>107</v>
      </c>
      <c r="B153" s="2486" t="s">
        <v>428</v>
      </c>
      <c r="C153" s="2499" t="s">
        <v>98</v>
      </c>
      <c r="D153" s="2527"/>
      <c r="E153" s="2499"/>
      <c r="F153" s="2499"/>
      <c r="G153" s="2499"/>
      <c r="H153" s="2499"/>
      <c r="I153" s="2499"/>
      <c r="J153" s="2499"/>
      <c r="K153" s="2499"/>
      <c r="L153" s="2499"/>
      <c r="M153" s="2499"/>
      <c r="N153" s="2499"/>
      <c r="O153" s="2512"/>
      <c r="P153" s="2512"/>
      <c r="Q153" s="2512"/>
      <c r="R153" s="2512"/>
      <c r="S153" s="2512"/>
      <c r="T153" s="2512"/>
      <c r="U153" s="2512"/>
      <c r="V153" s="2512"/>
      <c r="W153" s="2512"/>
      <c r="X153" s="2535"/>
      <c r="Y153" s="4565" t="s">
        <v>252</v>
      </c>
    </row>
    <row r="154" spans="1:25" ht="11.25" hidden="1" customHeight="1">
      <c r="A154" s="4554"/>
      <c r="B154" s="2488" t="s">
        <v>22</v>
      </c>
      <c r="C154" s="2536"/>
      <c r="D154" s="2501">
        <f t="shared" ref="D154:R154" si="204">+D155+D158</f>
        <v>0</v>
      </c>
      <c r="E154" s="2501">
        <f t="shared" si="204"/>
        <v>0</v>
      </c>
      <c r="F154" s="2501">
        <f t="shared" si="204"/>
        <v>0</v>
      </c>
      <c r="G154" s="2501">
        <f t="shared" si="204"/>
        <v>0</v>
      </c>
      <c r="H154" s="2501">
        <f t="shared" si="204"/>
        <v>0</v>
      </c>
      <c r="I154" s="2501">
        <f t="shared" si="204"/>
        <v>0</v>
      </c>
      <c r="J154" s="2501">
        <f t="shared" si="204"/>
        <v>0</v>
      </c>
      <c r="K154" s="2501">
        <f t="shared" si="204"/>
        <v>0</v>
      </c>
      <c r="L154" s="2501">
        <f t="shared" si="204"/>
        <v>0</v>
      </c>
      <c r="M154" s="2501">
        <f t="shared" ref="M154" si="205">+M155+M158</f>
        <v>0</v>
      </c>
      <c r="N154" s="2501">
        <f t="shared" si="204"/>
        <v>0</v>
      </c>
      <c r="O154" s="2485">
        <f t="shared" si="204"/>
        <v>0</v>
      </c>
      <c r="P154" s="2485">
        <f t="shared" si="204"/>
        <v>0</v>
      </c>
      <c r="Q154" s="2485">
        <f t="shared" si="204"/>
        <v>0</v>
      </c>
      <c r="R154" s="2485">
        <f t="shared" si="204"/>
        <v>0</v>
      </c>
      <c r="S154" s="2485"/>
      <c r="T154" s="2485"/>
      <c r="U154" s="2485"/>
      <c r="V154" s="2485"/>
      <c r="W154" s="2485"/>
      <c r="X154" s="2502">
        <f t="shared" ref="X154" si="206">+X155+X158</f>
        <v>0</v>
      </c>
      <c r="Y154" s="4565"/>
    </row>
    <row r="155" spans="1:25" ht="12.75" hidden="1" customHeight="1">
      <c r="A155" s="4554"/>
      <c r="B155" s="2489" t="s">
        <v>23</v>
      </c>
      <c r="C155" s="4566" t="s">
        <v>253</v>
      </c>
      <c r="D155" s="508">
        <f t="shared" ref="D155:R155" si="207">+D156+D157</f>
        <v>0</v>
      </c>
      <c r="E155" s="508">
        <f t="shared" si="207"/>
        <v>0</v>
      </c>
      <c r="F155" s="508">
        <f t="shared" si="207"/>
        <v>0</v>
      </c>
      <c r="G155" s="508">
        <f t="shared" si="207"/>
        <v>0</v>
      </c>
      <c r="H155" s="508">
        <f t="shared" si="207"/>
        <v>0</v>
      </c>
      <c r="I155" s="508">
        <f t="shared" si="207"/>
        <v>0</v>
      </c>
      <c r="J155" s="508">
        <f t="shared" si="207"/>
        <v>0</v>
      </c>
      <c r="K155" s="508">
        <f t="shared" si="207"/>
        <v>0</v>
      </c>
      <c r="L155" s="508">
        <f t="shared" si="207"/>
        <v>0</v>
      </c>
      <c r="M155" s="508">
        <f t="shared" ref="M155" si="208">+M156+M157</f>
        <v>0</v>
      </c>
      <c r="N155" s="508">
        <f t="shared" si="207"/>
        <v>0</v>
      </c>
      <c r="O155" s="2505">
        <f t="shared" si="207"/>
        <v>0</v>
      </c>
      <c r="P155" s="2505">
        <f t="shared" si="207"/>
        <v>0</v>
      </c>
      <c r="Q155" s="2505">
        <f t="shared" si="207"/>
        <v>0</v>
      </c>
      <c r="R155" s="2505">
        <f t="shared" si="207"/>
        <v>0</v>
      </c>
      <c r="S155" s="2505"/>
      <c r="T155" s="2505"/>
      <c r="U155" s="2505"/>
      <c r="V155" s="2505"/>
      <c r="W155" s="2505"/>
      <c r="X155" s="2503">
        <f>SUM(X156:X157)</f>
        <v>0</v>
      </c>
      <c r="Y155" s="4565"/>
    </row>
    <row r="156" spans="1:25" ht="12.75" hidden="1" customHeight="1">
      <c r="A156" s="4554"/>
      <c r="B156" s="2490" t="s">
        <v>24</v>
      </c>
      <c r="C156" s="4130"/>
      <c r="D156" s="2491">
        <f t="shared" ref="D156:D157" si="209">M156+N156+O156+P156+Q156+R156</f>
        <v>0</v>
      </c>
      <c r="E156" s="2537">
        <v>0</v>
      </c>
      <c r="F156" s="2537"/>
      <c r="G156" s="2537"/>
      <c r="H156" s="2537"/>
      <c r="I156" s="2537">
        <v>0</v>
      </c>
      <c r="J156" s="2537">
        <v>0</v>
      </c>
      <c r="K156" s="2537">
        <v>0</v>
      </c>
      <c r="L156" s="2537">
        <v>0</v>
      </c>
      <c r="M156" s="2492">
        <f t="shared" ref="M156:M157" si="210">E156+I156+J156+K156+L156</f>
        <v>0</v>
      </c>
      <c r="N156" s="2537">
        <v>0</v>
      </c>
      <c r="O156" s="2511">
        <f>23000-23000</f>
        <v>0</v>
      </c>
      <c r="P156" s="2511">
        <f>12000-12000</f>
        <v>0</v>
      </c>
      <c r="Q156" s="2511">
        <v>0</v>
      </c>
      <c r="R156" s="2511">
        <v>0</v>
      </c>
      <c r="S156" s="2511"/>
      <c r="T156" s="2511"/>
      <c r="U156" s="2511"/>
      <c r="V156" s="2511"/>
      <c r="W156" s="2511"/>
      <c r="X156" s="2494">
        <f>SUM(P156:T156)</f>
        <v>0</v>
      </c>
      <c r="Y156" s="4565"/>
    </row>
    <row r="157" spans="1:25" ht="12.75" hidden="1" customHeight="1">
      <c r="A157" s="4554"/>
      <c r="B157" s="2528" t="s">
        <v>439</v>
      </c>
      <c r="C157" s="4130"/>
      <c r="D157" s="2491">
        <f t="shared" si="209"/>
        <v>0</v>
      </c>
      <c r="E157" s="2537">
        <v>0</v>
      </c>
      <c r="F157" s="2537"/>
      <c r="G157" s="2537"/>
      <c r="H157" s="2537">
        <v>0</v>
      </c>
      <c r="I157" s="2537">
        <v>0</v>
      </c>
      <c r="J157" s="2537">
        <v>0</v>
      </c>
      <c r="K157" s="2537">
        <v>0</v>
      </c>
      <c r="L157" s="2537">
        <v>0</v>
      </c>
      <c r="M157" s="2492">
        <f t="shared" si="210"/>
        <v>0</v>
      </c>
      <c r="N157" s="2537">
        <v>0</v>
      </c>
      <c r="O157" s="2511">
        <f>36000-36000</f>
        <v>0</v>
      </c>
      <c r="P157" s="2511">
        <f>18000-18000</f>
        <v>0</v>
      </c>
      <c r="Q157" s="2511">
        <v>0</v>
      </c>
      <c r="R157" s="2511">
        <v>0</v>
      </c>
      <c r="S157" s="2511"/>
      <c r="T157" s="2511"/>
      <c r="U157" s="2511"/>
      <c r="V157" s="2511"/>
      <c r="W157" s="2511"/>
      <c r="X157" s="2494">
        <f>SUM(P157:T157)</f>
        <v>0</v>
      </c>
      <c r="Y157" s="4565"/>
    </row>
    <row r="158" spans="1:25" ht="12.75" hidden="1" customHeight="1">
      <c r="A158" s="4554"/>
      <c r="B158" s="2497" t="s">
        <v>30</v>
      </c>
      <c r="C158" s="4130"/>
      <c r="D158" s="508">
        <f t="shared" ref="D158:X158" si="211">+D159</f>
        <v>0</v>
      </c>
      <c r="E158" s="508">
        <f t="shared" si="211"/>
        <v>0</v>
      </c>
      <c r="F158" s="508">
        <f t="shared" si="211"/>
        <v>0</v>
      </c>
      <c r="G158" s="508">
        <f t="shared" si="211"/>
        <v>0</v>
      </c>
      <c r="H158" s="508">
        <f t="shared" si="211"/>
        <v>0</v>
      </c>
      <c r="I158" s="508">
        <f t="shared" si="211"/>
        <v>0</v>
      </c>
      <c r="J158" s="508">
        <f t="shared" si="211"/>
        <v>0</v>
      </c>
      <c r="K158" s="508">
        <f t="shared" si="211"/>
        <v>0</v>
      </c>
      <c r="L158" s="508">
        <f t="shared" si="211"/>
        <v>0</v>
      </c>
      <c r="M158" s="508">
        <f t="shared" si="211"/>
        <v>0</v>
      </c>
      <c r="N158" s="508">
        <f t="shared" si="211"/>
        <v>0</v>
      </c>
      <c r="O158" s="508">
        <f t="shared" si="211"/>
        <v>0</v>
      </c>
      <c r="P158" s="508">
        <f t="shared" si="211"/>
        <v>0</v>
      </c>
      <c r="Q158" s="508">
        <f t="shared" si="211"/>
        <v>0</v>
      </c>
      <c r="R158" s="508">
        <f t="shared" si="211"/>
        <v>0</v>
      </c>
      <c r="S158" s="508"/>
      <c r="T158" s="508"/>
      <c r="U158" s="508"/>
      <c r="V158" s="508"/>
      <c r="W158" s="508"/>
      <c r="X158" s="2538">
        <f t="shared" si="211"/>
        <v>0</v>
      </c>
      <c r="Y158" s="4565"/>
    </row>
    <row r="159" spans="1:25" ht="12.75" hidden="1" customHeight="1">
      <c r="A159" s="4554"/>
      <c r="B159" s="2528" t="s">
        <v>440</v>
      </c>
      <c r="C159" s="4130"/>
      <c r="D159" s="2491">
        <f>M159+N159+O159+P159+Q159+R159</f>
        <v>0</v>
      </c>
      <c r="E159" s="2537">
        <v>0</v>
      </c>
      <c r="F159" s="2537"/>
      <c r="G159" s="2537"/>
      <c r="H159" s="2537">
        <v>0</v>
      </c>
      <c r="I159" s="2537">
        <v>0</v>
      </c>
      <c r="J159" s="2537">
        <v>0</v>
      </c>
      <c r="K159" s="2537">
        <v>0</v>
      </c>
      <c r="L159" s="2537">
        <v>0</v>
      </c>
      <c r="M159" s="2492">
        <f t="shared" ref="M159" si="212">E159+I159+J159+K159+L159</f>
        <v>0</v>
      </c>
      <c r="N159" s="2537">
        <v>0</v>
      </c>
      <c r="O159" s="2511">
        <f>64000-64000</f>
        <v>0</v>
      </c>
      <c r="P159" s="2511">
        <f>32000-32000</f>
        <v>0</v>
      </c>
      <c r="Q159" s="2511">
        <v>0</v>
      </c>
      <c r="R159" s="2511">
        <v>0</v>
      </c>
      <c r="S159" s="2511"/>
      <c r="T159" s="2511"/>
      <c r="U159" s="2511"/>
      <c r="V159" s="2511"/>
      <c r="W159" s="2511"/>
      <c r="X159" s="2494">
        <f>SUM(P159:T159)</f>
        <v>0</v>
      </c>
      <c r="Y159" s="4565"/>
    </row>
    <row r="160" spans="1:25" ht="13.5" hidden="1" customHeight="1">
      <c r="A160" s="4554"/>
      <c r="B160" s="2488" t="s">
        <v>34</v>
      </c>
      <c r="C160" s="2536"/>
      <c r="D160" s="2485">
        <f>+D161+D164</f>
        <v>0</v>
      </c>
      <c r="E160" s="2485">
        <f>+E161+E164</f>
        <v>0</v>
      </c>
      <c r="F160" s="2485"/>
      <c r="G160" s="2485"/>
      <c r="H160" s="2485"/>
      <c r="I160" s="2485">
        <f t="shared" ref="I160:R160" si="213">+I161+I164</f>
        <v>0</v>
      </c>
      <c r="J160" s="2485">
        <f t="shared" si="213"/>
        <v>0</v>
      </c>
      <c r="K160" s="2485">
        <f t="shared" si="213"/>
        <v>0</v>
      </c>
      <c r="L160" s="2485">
        <f t="shared" si="213"/>
        <v>0</v>
      </c>
      <c r="M160" s="2485">
        <f t="shared" ref="M160" si="214">+M161+M164</f>
        <v>0</v>
      </c>
      <c r="N160" s="2485">
        <f t="shared" si="213"/>
        <v>0</v>
      </c>
      <c r="O160" s="2485">
        <f t="shared" si="213"/>
        <v>0</v>
      </c>
      <c r="P160" s="2485">
        <f t="shared" si="213"/>
        <v>0</v>
      </c>
      <c r="Q160" s="2485">
        <f t="shared" si="213"/>
        <v>0</v>
      </c>
      <c r="R160" s="2485">
        <f t="shared" si="213"/>
        <v>0</v>
      </c>
      <c r="S160" s="2485"/>
      <c r="T160" s="2485"/>
      <c r="U160" s="2485"/>
      <c r="V160" s="2485"/>
      <c r="W160" s="2485"/>
      <c r="X160" s="4568" t="s">
        <v>77</v>
      </c>
      <c r="Y160" s="4565"/>
    </row>
    <row r="161" spans="1:25" ht="12.75" hidden="1" customHeight="1">
      <c r="A161" s="4554"/>
      <c r="B161" s="2489" t="s">
        <v>23</v>
      </c>
      <c r="C161" s="4567" t="s">
        <v>253</v>
      </c>
      <c r="D161" s="508">
        <f t="shared" ref="D161:R161" si="215">+D162</f>
        <v>0</v>
      </c>
      <c r="E161" s="508">
        <f t="shared" si="215"/>
        <v>0</v>
      </c>
      <c r="F161" s="508">
        <f t="shared" si="215"/>
        <v>0</v>
      </c>
      <c r="G161" s="508">
        <f t="shared" si="215"/>
        <v>0</v>
      </c>
      <c r="H161" s="508">
        <f t="shared" si="215"/>
        <v>0</v>
      </c>
      <c r="I161" s="508">
        <f t="shared" si="215"/>
        <v>0</v>
      </c>
      <c r="J161" s="508">
        <f t="shared" si="215"/>
        <v>0</v>
      </c>
      <c r="K161" s="508">
        <f t="shared" si="215"/>
        <v>0</v>
      </c>
      <c r="L161" s="508">
        <f t="shared" si="215"/>
        <v>0</v>
      </c>
      <c r="M161" s="508">
        <f t="shared" si="215"/>
        <v>0</v>
      </c>
      <c r="N161" s="508">
        <f t="shared" si="215"/>
        <v>0</v>
      </c>
      <c r="O161" s="2505">
        <f t="shared" si="215"/>
        <v>0</v>
      </c>
      <c r="P161" s="2505">
        <f t="shared" si="215"/>
        <v>0</v>
      </c>
      <c r="Q161" s="2505">
        <f t="shared" si="215"/>
        <v>0</v>
      </c>
      <c r="R161" s="2505">
        <f t="shared" si="215"/>
        <v>0</v>
      </c>
      <c r="S161" s="2505"/>
      <c r="T161" s="2505"/>
      <c r="U161" s="2505"/>
      <c r="V161" s="2505"/>
      <c r="W161" s="2505"/>
      <c r="X161" s="4568"/>
      <c r="Y161" s="4565"/>
    </row>
    <row r="162" spans="1:25" ht="12.75" hidden="1" customHeight="1">
      <c r="A162" s="4554"/>
      <c r="B162" s="2528" t="s">
        <v>439</v>
      </c>
      <c r="C162" s="4567"/>
      <c r="D162" s="2491">
        <f>M162+N162+O162+P162+Q162+R162</f>
        <v>0</v>
      </c>
      <c r="E162" s="2537">
        <v>0</v>
      </c>
      <c r="F162" s="2537"/>
      <c r="G162" s="2537"/>
      <c r="H162" s="2537"/>
      <c r="I162" s="2537">
        <v>0</v>
      </c>
      <c r="J162" s="2537">
        <v>0</v>
      </c>
      <c r="K162" s="2537">
        <v>0</v>
      </c>
      <c r="L162" s="2537">
        <v>0</v>
      </c>
      <c r="M162" s="2492">
        <f t="shared" ref="M162" si="216">E162+I162+J162+K162+L162</f>
        <v>0</v>
      </c>
      <c r="N162" s="2537">
        <v>0</v>
      </c>
      <c r="O162" s="2511">
        <f>36000-36000</f>
        <v>0</v>
      </c>
      <c r="P162" s="2511">
        <f>18000-18000</f>
        <v>0</v>
      </c>
      <c r="Q162" s="2511">
        <v>0</v>
      </c>
      <c r="R162" s="2511">
        <v>0</v>
      </c>
      <c r="S162" s="2511"/>
      <c r="T162" s="2511"/>
      <c r="U162" s="2511"/>
      <c r="V162" s="2511"/>
      <c r="W162" s="2511"/>
      <c r="X162" s="4568"/>
      <c r="Y162" s="4565"/>
    </row>
    <row r="163" spans="1:25" ht="11.25" hidden="1" customHeight="1">
      <c r="A163" s="4554"/>
      <c r="B163" s="2490" t="s">
        <v>37</v>
      </c>
      <c r="C163" s="4567"/>
      <c r="D163" s="2537">
        <f>+E163+I163+J163+K163+L163+N163</f>
        <v>0</v>
      </c>
      <c r="E163" s="2537">
        <v>0</v>
      </c>
      <c r="F163" s="2537"/>
      <c r="G163" s="2537"/>
      <c r="H163" s="2537"/>
      <c r="I163" s="2537"/>
      <c r="J163" s="2537"/>
      <c r="K163" s="2537">
        <v>0</v>
      </c>
      <c r="L163" s="2537">
        <v>0</v>
      </c>
      <c r="M163" s="2537">
        <v>0</v>
      </c>
      <c r="N163" s="2537"/>
      <c r="O163" s="2539"/>
      <c r="P163" s="2511"/>
      <c r="Q163" s="2511"/>
      <c r="R163" s="2511"/>
      <c r="S163" s="2511"/>
      <c r="T163" s="2511"/>
      <c r="U163" s="2511"/>
      <c r="V163" s="2511"/>
      <c r="W163" s="2511"/>
      <c r="X163" s="4568"/>
      <c r="Y163" s="4565"/>
    </row>
    <row r="164" spans="1:25" ht="12.75" hidden="1" customHeight="1">
      <c r="A164" s="4554"/>
      <c r="B164" s="2497" t="s">
        <v>30</v>
      </c>
      <c r="C164" s="4567"/>
      <c r="D164" s="508">
        <f t="shared" ref="D164:R164" si="217">+D165</f>
        <v>0</v>
      </c>
      <c r="E164" s="508">
        <f t="shared" si="217"/>
        <v>0</v>
      </c>
      <c r="F164" s="508">
        <f t="shared" si="217"/>
        <v>0</v>
      </c>
      <c r="G164" s="508">
        <f t="shared" si="217"/>
        <v>0</v>
      </c>
      <c r="H164" s="508">
        <f t="shared" si="217"/>
        <v>0</v>
      </c>
      <c r="I164" s="508">
        <f t="shared" si="217"/>
        <v>0</v>
      </c>
      <c r="J164" s="508">
        <f t="shared" si="217"/>
        <v>0</v>
      </c>
      <c r="K164" s="508">
        <f t="shared" si="217"/>
        <v>0</v>
      </c>
      <c r="L164" s="508">
        <f t="shared" si="217"/>
        <v>0</v>
      </c>
      <c r="M164" s="508">
        <f t="shared" si="217"/>
        <v>0</v>
      </c>
      <c r="N164" s="508">
        <f t="shared" si="217"/>
        <v>0</v>
      </c>
      <c r="O164" s="2505">
        <f t="shared" si="217"/>
        <v>0</v>
      </c>
      <c r="P164" s="2505">
        <f t="shared" si="217"/>
        <v>0</v>
      </c>
      <c r="Q164" s="2505">
        <f t="shared" si="217"/>
        <v>0</v>
      </c>
      <c r="R164" s="2505">
        <f t="shared" si="217"/>
        <v>0</v>
      </c>
      <c r="S164" s="2505"/>
      <c r="T164" s="2505"/>
      <c r="U164" s="2505"/>
      <c r="V164" s="2505"/>
      <c r="W164" s="2505"/>
      <c r="X164" s="4568"/>
      <c r="Y164" s="4565"/>
    </row>
    <row r="165" spans="1:25" s="2542" customFormat="1" ht="15.75" hidden="1" customHeight="1" thickBot="1">
      <c r="A165" s="4554"/>
      <c r="B165" s="2528" t="s">
        <v>440</v>
      </c>
      <c r="C165" s="4567"/>
      <c r="D165" s="2491">
        <f>M165+N165+O165+P165+Q165+R165</f>
        <v>0</v>
      </c>
      <c r="E165" s="2540">
        <v>0</v>
      </c>
      <c r="F165" s="2540"/>
      <c r="G165" s="2540"/>
      <c r="H165" s="2540"/>
      <c r="I165" s="2540">
        <v>0</v>
      </c>
      <c r="J165" s="2540">
        <v>0</v>
      </c>
      <c r="K165" s="2540">
        <v>0</v>
      </c>
      <c r="L165" s="2540">
        <v>0</v>
      </c>
      <c r="M165" s="2492">
        <f t="shared" ref="M165" si="218">E165+I165+J165+K165+L165</f>
        <v>0</v>
      </c>
      <c r="N165" s="2540">
        <v>0</v>
      </c>
      <c r="O165" s="2541">
        <f>64000-64000</f>
        <v>0</v>
      </c>
      <c r="P165" s="2541">
        <f>32000-32000</f>
        <v>0</v>
      </c>
      <c r="Q165" s="2541">
        <v>0</v>
      </c>
      <c r="R165" s="2541">
        <v>0</v>
      </c>
      <c r="S165" s="2541"/>
      <c r="T165" s="2541"/>
      <c r="U165" s="2541"/>
      <c r="V165" s="2541"/>
      <c r="W165" s="2541"/>
      <c r="X165" s="4568"/>
      <c r="Y165" s="4565"/>
    </row>
    <row r="166" spans="1:25" ht="35.25" hidden="1" customHeight="1">
      <c r="A166" s="4554">
        <v>0</v>
      </c>
      <c r="B166" s="2543" t="s">
        <v>257</v>
      </c>
      <c r="C166" s="2544" t="s">
        <v>98</v>
      </c>
      <c r="D166" s="2544"/>
      <c r="E166" s="2545"/>
      <c r="F166" s="2545"/>
      <c r="G166" s="2545"/>
      <c r="H166" s="2545"/>
      <c r="I166" s="2546"/>
      <c r="J166" s="2546"/>
      <c r="K166" s="2546"/>
      <c r="L166" s="2546"/>
      <c r="M166" s="2546"/>
      <c r="N166" s="2546"/>
      <c r="O166" s="2546"/>
      <c r="P166" s="2546"/>
      <c r="Q166" s="2546"/>
      <c r="R166" s="2546"/>
      <c r="S166" s="2546"/>
      <c r="T166" s="2546"/>
      <c r="U166" s="2546"/>
      <c r="V166" s="2546"/>
      <c r="W166" s="2546"/>
      <c r="X166" s="2547"/>
      <c r="Y166" s="4556" t="s">
        <v>258</v>
      </c>
    </row>
    <row r="167" spans="1:25" ht="11.25" hidden="1" customHeight="1">
      <c r="A167" s="4554"/>
      <c r="B167" s="2548" t="s">
        <v>22</v>
      </c>
      <c r="C167" s="2536"/>
      <c r="D167" s="2549">
        <f t="shared" ref="D167:L167" si="219">+D168+D171</f>
        <v>0</v>
      </c>
      <c r="E167" s="2550">
        <f t="shared" si="219"/>
        <v>0</v>
      </c>
      <c r="F167" s="2551">
        <f t="shared" si="219"/>
        <v>0</v>
      </c>
      <c r="G167" s="2551">
        <f t="shared" si="219"/>
        <v>0</v>
      </c>
      <c r="H167" s="2551">
        <f t="shared" si="219"/>
        <v>0</v>
      </c>
      <c r="I167" s="2551">
        <f t="shared" si="219"/>
        <v>0</v>
      </c>
      <c r="J167" s="2551">
        <f t="shared" si="219"/>
        <v>0</v>
      </c>
      <c r="K167" s="2551">
        <f t="shared" si="219"/>
        <v>0</v>
      </c>
      <c r="L167" s="2551">
        <f t="shared" si="219"/>
        <v>0</v>
      </c>
      <c r="M167" s="2552"/>
      <c r="N167" s="2553"/>
      <c r="O167" s="2554"/>
      <c r="P167" s="2554"/>
      <c r="Q167" s="2554"/>
      <c r="R167" s="2554"/>
      <c r="S167" s="2554"/>
      <c r="T167" s="2554"/>
      <c r="U167" s="2554"/>
      <c r="V167" s="2554"/>
      <c r="W167" s="2554"/>
      <c r="X167" s="2555"/>
      <c r="Y167" s="4556"/>
    </row>
    <row r="168" spans="1:25" ht="11.25" hidden="1" customHeight="1">
      <c r="A168" s="4554"/>
      <c r="B168" s="2556" t="s">
        <v>23</v>
      </c>
      <c r="C168" s="4562" t="s">
        <v>248</v>
      </c>
      <c r="D168" s="2557">
        <f>+D169+D170</f>
        <v>0</v>
      </c>
      <c r="E168" s="2558">
        <f>+E169+E170</f>
        <v>0</v>
      </c>
      <c r="F168" s="2557">
        <f>+F169+F170</f>
        <v>0</v>
      </c>
      <c r="G168" s="2557">
        <f>+G169+G170</f>
        <v>0</v>
      </c>
      <c r="H168" s="2557">
        <f>+H169+H170</f>
        <v>0</v>
      </c>
      <c r="I168" s="2559">
        <f>SUM(I169:I170)</f>
        <v>0</v>
      </c>
      <c r="J168" s="2559">
        <f>SUM(J169:J170)</f>
        <v>0</v>
      </c>
      <c r="K168" s="2559">
        <f>SUM(K169:K170)</f>
        <v>0</v>
      </c>
      <c r="L168" s="2559">
        <f>SUM(L169:L170)</f>
        <v>0</v>
      </c>
      <c r="M168" s="2559"/>
      <c r="N168" s="2560"/>
      <c r="O168" s="2561"/>
      <c r="P168" s="2561"/>
      <c r="Q168" s="2561"/>
      <c r="R168" s="2561"/>
      <c r="S168" s="2561"/>
      <c r="T168" s="2561"/>
      <c r="U168" s="2561"/>
      <c r="V168" s="2561"/>
      <c r="W168" s="2561"/>
      <c r="X168" s="2562"/>
      <c r="Y168" s="4556"/>
    </row>
    <row r="169" spans="1:25" ht="11.25" hidden="1" customHeight="1">
      <c r="A169" s="4554"/>
      <c r="B169" s="2563" t="s">
        <v>24</v>
      </c>
      <c r="C169" s="4084"/>
      <c r="D169" s="2564">
        <f>+E169+I169+J169+K169+L169+N169</f>
        <v>0</v>
      </c>
      <c r="E169" s="2565"/>
      <c r="F169" s="2566"/>
      <c r="G169" s="2566"/>
      <c r="H169" s="2566"/>
      <c r="I169" s="2567">
        <v>0</v>
      </c>
      <c r="J169" s="2567">
        <v>0</v>
      </c>
      <c r="K169" s="2567">
        <v>0</v>
      </c>
      <c r="L169" s="2567">
        <v>0</v>
      </c>
      <c r="M169" s="2567"/>
      <c r="N169" s="2568"/>
      <c r="O169" s="2567"/>
      <c r="P169" s="2567"/>
      <c r="Q169" s="2567"/>
      <c r="R169" s="2567"/>
      <c r="S169" s="2567"/>
      <c r="T169" s="2567"/>
      <c r="U169" s="2567"/>
      <c r="V169" s="2567"/>
      <c r="W169" s="2567"/>
      <c r="X169" s="2534"/>
      <c r="Y169" s="4556"/>
    </row>
    <row r="170" spans="1:25" ht="11.25" hidden="1" customHeight="1">
      <c r="A170" s="4554"/>
      <c r="B170" s="2569" t="s">
        <v>25</v>
      </c>
      <c r="C170" s="4084"/>
      <c r="D170" s="2564">
        <f>+E170+I170+J170+K170+L170+N170</f>
        <v>0</v>
      </c>
      <c r="E170" s="2570">
        <v>0</v>
      </c>
      <c r="F170" s="2571"/>
      <c r="G170" s="2571"/>
      <c r="H170" s="2571">
        <v>0</v>
      </c>
      <c r="I170" s="2572"/>
      <c r="J170" s="2572"/>
      <c r="K170" s="2567"/>
      <c r="L170" s="2567"/>
      <c r="M170" s="2567"/>
      <c r="N170" s="2568"/>
      <c r="O170" s="2567"/>
      <c r="P170" s="2567"/>
      <c r="Q170" s="2567"/>
      <c r="R170" s="2567"/>
      <c r="S170" s="2567"/>
      <c r="T170" s="2567"/>
      <c r="U170" s="2567"/>
      <c r="V170" s="2567"/>
      <c r="W170" s="2567"/>
      <c r="X170" s="2534"/>
      <c r="Y170" s="4556"/>
    </row>
    <row r="171" spans="1:25" ht="11.25" hidden="1" customHeight="1">
      <c r="A171" s="4554"/>
      <c r="B171" s="2573" t="s">
        <v>30</v>
      </c>
      <c r="C171" s="4084"/>
      <c r="D171" s="2557">
        <f t="shared" ref="D171:L171" si="220">+D172</f>
        <v>0</v>
      </c>
      <c r="E171" s="2558">
        <f t="shared" si="220"/>
        <v>0</v>
      </c>
      <c r="F171" s="2557"/>
      <c r="G171" s="2557"/>
      <c r="H171" s="2557">
        <f t="shared" si="220"/>
        <v>0</v>
      </c>
      <c r="I171" s="2574">
        <f t="shared" si="220"/>
        <v>0</v>
      </c>
      <c r="J171" s="2574">
        <f t="shared" si="220"/>
        <v>0</v>
      </c>
      <c r="K171" s="2574">
        <f>+K172</f>
        <v>0</v>
      </c>
      <c r="L171" s="2574">
        <f t="shared" si="220"/>
        <v>0</v>
      </c>
      <c r="M171" s="2574"/>
      <c r="N171" s="2575"/>
      <c r="O171" s="2557"/>
      <c r="P171" s="2557"/>
      <c r="Q171" s="2557"/>
      <c r="R171" s="2557"/>
      <c r="S171" s="2557"/>
      <c r="T171" s="2557"/>
      <c r="U171" s="2557"/>
      <c r="V171" s="2557"/>
      <c r="W171" s="2557"/>
      <c r="X171" s="1519"/>
      <c r="Y171" s="4556"/>
    </row>
    <row r="172" spans="1:25" ht="11.25" hidden="1" customHeight="1">
      <c r="A172" s="4554"/>
      <c r="B172" s="2563" t="s">
        <v>33</v>
      </c>
      <c r="C172" s="4084"/>
      <c r="D172" s="2564">
        <f>+E172+I172+J172+K172+L172+N172</f>
        <v>0</v>
      </c>
      <c r="E172" s="2570">
        <v>0</v>
      </c>
      <c r="F172" s="2571"/>
      <c r="G172" s="2571"/>
      <c r="H172" s="2571">
        <v>0</v>
      </c>
      <c r="I172" s="2572"/>
      <c r="J172" s="2572"/>
      <c r="K172" s="2567"/>
      <c r="L172" s="2567"/>
      <c r="M172" s="2567"/>
      <c r="N172" s="2568"/>
      <c r="O172" s="2567"/>
      <c r="P172" s="2567"/>
      <c r="Q172" s="2567"/>
      <c r="R172" s="2567"/>
      <c r="S172" s="2567"/>
      <c r="T172" s="2567"/>
      <c r="U172" s="2567"/>
      <c r="V172" s="2567"/>
      <c r="W172" s="2567"/>
      <c r="X172" s="2534"/>
      <c r="Y172" s="4556"/>
    </row>
    <row r="173" spans="1:25" ht="11.25" hidden="1" customHeight="1">
      <c r="A173" s="4554"/>
      <c r="B173" s="2548" t="s">
        <v>34</v>
      </c>
      <c r="C173" s="2536"/>
      <c r="D173" s="2554">
        <f>+D174+D177</f>
        <v>0</v>
      </c>
      <c r="E173" s="2576">
        <f>+E174+E177</f>
        <v>0</v>
      </c>
      <c r="F173" s="2576"/>
      <c r="G173" s="2576"/>
      <c r="H173" s="2576"/>
      <c r="I173" s="2554">
        <f>+I174+I177</f>
        <v>0</v>
      </c>
      <c r="J173" s="2554">
        <f>+J174+J177</f>
        <v>0</v>
      </c>
      <c r="K173" s="2554">
        <f>+K174+K177</f>
        <v>0</v>
      </c>
      <c r="L173" s="2551">
        <f>+L174+L177</f>
        <v>0</v>
      </c>
      <c r="M173" s="2552"/>
      <c r="N173" s="2553"/>
      <c r="O173" s="2554"/>
      <c r="P173" s="2554"/>
      <c r="Q173" s="2554"/>
      <c r="R173" s="2554"/>
      <c r="S173" s="2554"/>
      <c r="T173" s="2554"/>
      <c r="U173" s="2554"/>
      <c r="V173" s="2554"/>
      <c r="W173" s="2554"/>
      <c r="X173" s="2577"/>
      <c r="Y173" s="4556"/>
    </row>
    <row r="174" spans="1:25" ht="11.25" hidden="1" customHeight="1">
      <c r="A174" s="4554"/>
      <c r="B174" s="2556" t="s">
        <v>23</v>
      </c>
      <c r="C174" s="4563" t="s">
        <v>248</v>
      </c>
      <c r="D174" s="2557">
        <f>+D175+D176</f>
        <v>0</v>
      </c>
      <c r="E174" s="2558">
        <f>+E175+E176</f>
        <v>0</v>
      </c>
      <c r="F174" s="2558"/>
      <c r="G174" s="2558"/>
      <c r="H174" s="2558"/>
      <c r="I174" s="2559">
        <f>+I175+I176</f>
        <v>0</v>
      </c>
      <c r="J174" s="2559">
        <f>+J175+J176</f>
        <v>0</v>
      </c>
      <c r="K174" s="2561">
        <f>+K175+K176</f>
        <v>0</v>
      </c>
      <c r="L174" s="2559">
        <f>+L175+L176</f>
        <v>0</v>
      </c>
      <c r="M174" s="2559"/>
      <c r="N174" s="2560"/>
      <c r="O174" s="2561"/>
      <c r="P174" s="2561"/>
      <c r="Q174" s="2561"/>
      <c r="R174" s="2561"/>
      <c r="S174" s="2561"/>
      <c r="T174" s="2561"/>
      <c r="U174" s="2561"/>
      <c r="V174" s="2561"/>
      <c r="W174" s="2561"/>
      <c r="X174" s="2577"/>
      <c r="Y174" s="4556"/>
    </row>
    <row r="175" spans="1:25" ht="11.25" hidden="1" customHeight="1">
      <c r="A175" s="4554"/>
      <c r="B175" s="2569" t="s">
        <v>25</v>
      </c>
      <c r="C175" s="4564"/>
      <c r="D175" s="2564">
        <f>+E175+I175+J175+K175+L175+N175</f>
        <v>0</v>
      </c>
      <c r="E175" s="2570">
        <v>0</v>
      </c>
      <c r="F175" s="2570"/>
      <c r="G175" s="2570"/>
      <c r="H175" s="2570"/>
      <c r="I175" s="2572"/>
      <c r="J175" s="2572"/>
      <c r="K175" s="2572"/>
      <c r="L175" s="2567"/>
      <c r="M175" s="2567"/>
      <c r="N175" s="2568"/>
      <c r="O175" s="2567"/>
      <c r="P175" s="2567"/>
      <c r="Q175" s="2567"/>
      <c r="R175" s="2567"/>
      <c r="S175" s="2567"/>
      <c r="T175" s="2567"/>
      <c r="U175" s="2567"/>
      <c r="V175" s="2567"/>
      <c r="W175" s="2567"/>
      <c r="X175" s="2577"/>
      <c r="Y175" s="4556"/>
    </row>
    <row r="176" spans="1:25" ht="11.25" hidden="1" customHeight="1">
      <c r="A176" s="4554"/>
      <c r="B176" s="2563" t="s">
        <v>37</v>
      </c>
      <c r="C176" s="4564"/>
      <c r="D176" s="2564">
        <f>+E176+I176+J176+K176+L176+N176</f>
        <v>0</v>
      </c>
      <c r="E176" s="2570">
        <v>0</v>
      </c>
      <c r="F176" s="2570"/>
      <c r="G176" s="2570"/>
      <c r="H176" s="2570"/>
      <c r="I176" s="2567"/>
      <c r="J176" s="2578"/>
      <c r="K176" s="2572">
        <v>0</v>
      </c>
      <c r="L176" s="2567">
        <v>0</v>
      </c>
      <c r="M176" s="2567"/>
      <c r="N176" s="2567"/>
      <c r="O176" s="2567"/>
      <c r="P176" s="2567"/>
      <c r="Q176" s="2567"/>
      <c r="R176" s="2567"/>
      <c r="S176" s="2567"/>
      <c r="T176" s="2567"/>
      <c r="U176" s="2567"/>
      <c r="V176" s="2567"/>
      <c r="W176" s="2567"/>
      <c r="X176" s="2577"/>
      <c r="Y176" s="4556"/>
    </row>
    <row r="177" spans="1:26" ht="11.25" hidden="1" customHeight="1">
      <c r="A177" s="4554"/>
      <c r="B177" s="2573" t="s">
        <v>30</v>
      </c>
      <c r="C177" s="4564"/>
      <c r="D177" s="2557">
        <f>+D178+D179</f>
        <v>0</v>
      </c>
      <c r="E177" s="2579">
        <f>+E178</f>
        <v>0</v>
      </c>
      <c r="F177" s="2579"/>
      <c r="G177" s="2579"/>
      <c r="H177" s="2579"/>
      <c r="I177" s="2559">
        <f>+I178+I179</f>
        <v>0</v>
      </c>
      <c r="J177" s="2559">
        <f>+J178+J179</f>
        <v>0</v>
      </c>
      <c r="K177" s="2561">
        <f>+K178+K179</f>
        <v>0</v>
      </c>
      <c r="L177" s="2559">
        <f>+L178+L179</f>
        <v>0</v>
      </c>
      <c r="M177" s="2559"/>
      <c r="N177" s="2559"/>
      <c r="O177" s="2561"/>
      <c r="P177" s="2561"/>
      <c r="Q177" s="2561"/>
      <c r="R177" s="2561"/>
      <c r="S177" s="2561"/>
      <c r="T177" s="2561"/>
      <c r="U177" s="2561"/>
      <c r="V177" s="2561"/>
      <c r="W177" s="2561"/>
      <c r="X177" s="2577"/>
      <c r="Y177" s="4556"/>
    </row>
    <row r="178" spans="1:26" ht="11.25" hidden="1" customHeight="1">
      <c r="A178" s="4554"/>
      <c r="B178" s="2569" t="s">
        <v>33</v>
      </c>
      <c r="C178" s="4564"/>
      <c r="D178" s="2564">
        <f>+E178+I178+J178+K178+L178+N178</f>
        <v>0</v>
      </c>
      <c r="E178" s="2530">
        <v>0</v>
      </c>
      <c r="F178" s="2530"/>
      <c r="G178" s="2530"/>
      <c r="H178" s="2530"/>
      <c r="I178" s="2580"/>
      <c r="J178" s="2580"/>
      <c r="K178" s="2580"/>
      <c r="L178" s="2581"/>
      <c r="M178" s="2581"/>
      <c r="N178" s="2568"/>
      <c r="O178" s="2567"/>
      <c r="P178" s="2567"/>
      <c r="Q178" s="2567"/>
      <c r="R178" s="2567"/>
      <c r="S178" s="2567"/>
      <c r="T178" s="2567"/>
      <c r="U178" s="2567"/>
      <c r="V178" s="2567"/>
      <c r="W178" s="2567"/>
      <c r="X178" s="2577"/>
      <c r="Y178" s="4556"/>
    </row>
    <row r="179" spans="1:26" ht="11.25" hidden="1" customHeight="1" thickBot="1">
      <c r="A179" s="4554"/>
      <c r="B179" s="2569" t="s">
        <v>32</v>
      </c>
      <c r="C179" s="4564"/>
      <c r="D179" s="2564">
        <f>+E179+I179+J179+K179+L179+N179</f>
        <v>0</v>
      </c>
      <c r="E179" s="2531">
        <v>0</v>
      </c>
      <c r="F179" s="2531"/>
      <c r="G179" s="2531"/>
      <c r="H179" s="2531"/>
      <c r="I179" s="2532"/>
      <c r="J179" s="2533"/>
      <c r="K179" s="2532"/>
      <c r="L179" s="2532"/>
      <c r="M179" s="2532"/>
      <c r="N179" s="2532"/>
      <c r="O179" s="2532"/>
      <c r="P179" s="2532"/>
      <c r="Q179" s="2532"/>
      <c r="R179" s="2532"/>
      <c r="S179" s="2532"/>
      <c r="T179" s="2532"/>
      <c r="U179" s="2532"/>
      <c r="V179" s="2532"/>
      <c r="W179" s="2532"/>
      <c r="X179" s="2534"/>
      <c r="Y179" s="4556"/>
    </row>
    <row r="180" spans="1:26" s="2542" customFormat="1" ht="36" hidden="1" customHeight="1">
      <c r="A180" s="2712" t="s">
        <v>259</v>
      </c>
      <c r="B180" s="2582"/>
      <c r="C180" s="2582"/>
      <c r="D180" s="2582"/>
      <c r="E180" s="2583"/>
      <c r="F180" s="2583">
        <f>+D184-D191</f>
        <v>0</v>
      </c>
      <c r="G180" s="2583"/>
      <c r="H180" s="2583"/>
      <c r="I180" s="2582"/>
      <c r="J180" s="2582"/>
      <c r="K180" s="2582"/>
      <c r="L180" s="2582"/>
      <c r="M180" s="2582"/>
      <c r="N180" s="2582"/>
      <c r="O180" s="2582"/>
      <c r="P180" s="2582"/>
      <c r="Q180" s="2582"/>
      <c r="R180" s="2582"/>
      <c r="S180" s="2582"/>
      <c r="T180" s="2582"/>
      <c r="U180" s="2582"/>
      <c r="V180" s="2582"/>
      <c r="W180" s="2582"/>
      <c r="X180" s="2584"/>
      <c r="Y180" s="2713"/>
    </row>
    <row r="181" spans="1:26" s="2463" customFormat="1" ht="19.5" hidden="1" customHeight="1">
      <c r="A181" s="2698"/>
      <c r="B181" s="2664" t="s">
        <v>92</v>
      </c>
      <c r="C181" s="2665"/>
      <c r="D181" s="2666">
        <f>+D182+D183</f>
        <v>0</v>
      </c>
      <c r="E181" s="2666">
        <f t="shared" ref="E181:X181" si="221">+E182+E183</f>
        <v>0</v>
      </c>
      <c r="F181" s="2666">
        <f t="shared" si="221"/>
        <v>0</v>
      </c>
      <c r="G181" s="2666">
        <f t="shared" si="221"/>
        <v>0</v>
      </c>
      <c r="H181" s="2666">
        <f t="shared" si="221"/>
        <v>0</v>
      </c>
      <c r="I181" s="2666">
        <f t="shared" si="221"/>
        <v>0</v>
      </c>
      <c r="J181" s="2666">
        <f t="shared" si="221"/>
        <v>0</v>
      </c>
      <c r="K181" s="2666">
        <f t="shared" si="221"/>
        <v>0</v>
      </c>
      <c r="L181" s="2666">
        <f t="shared" si="221"/>
        <v>0</v>
      </c>
      <c r="M181" s="2666">
        <f t="shared" ref="M181" si="222">+M182+M183</f>
        <v>0</v>
      </c>
      <c r="N181" s="2666">
        <f t="shared" si="221"/>
        <v>0</v>
      </c>
      <c r="O181" s="2666">
        <f t="shared" si="221"/>
        <v>0</v>
      </c>
      <c r="P181" s="2666">
        <f t="shared" si="221"/>
        <v>0</v>
      </c>
      <c r="Q181" s="2666">
        <f t="shared" si="221"/>
        <v>0</v>
      </c>
      <c r="R181" s="2666">
        <f t="shared" si="221"/>
        <v>0</v>
      </c>
      <c r="S181" s="2666"/>
      <c r="T181" s="2666"/>
      <c r="U181" s="2666"/>
      <c r="V181" s="2666"/>
      <c r="W181" s="2666"/>
      <c r="X181" s="2667">
        <f t="shared" si="221"/>
        <v>0</v>
      </c>
      <c r="Y181" s="2719"/>
    </row>
    <row r="182" spans="1:26" s="2463" customFormat="1" ht="12.75" hidden="1" customHeight="1">
      <c r="A182" s="2700"/>
      <c r="B182" s="2664" t="s">
        <v>93</v>
      </c>
      <c r="C182" s="2665"/>
      <c r="D182" s="2666">
        <v>0</v>
      </c>
      <c r="E182" s="2666">
        <v>0</v>
      </c>
      <c r="F182" s="2666">
        <v>0</v>
      </c>
      <c r="G182" s="2666">
        <v>0</v>
      </c>
      <c r="H182" s="2666">
        <v>0</v>
      </c>
      <c r="I182" s="2666">
        <v>0</v>
      </c>
      <c r="J182" s="2666">
        <v>0</v>
      </c>
      <c r="K182" s="2666">
        <v>0</v>
      </c>
      <c r="L182" s="2666">
        <v>0</v>
      </c>
      <c r="M182" s="2666">
        <v>0</v>
      </c>
      <c r="N182" s="2666">
        <v>0</v>
      </c>
      <c r="O182" s="2666">
        <v>0</v>
      </c>
      <c r="P182" s="2666">
        <v>0</v>
      </c>
      <c r="Q182" s="2666">
        <v>0</v>
      </c>
      <c r="R182" s="2666">
        <v>0</v>
      </c>
      <c r="S182" s="2666"/>
      <c r="T182" s="2666"/>
      <c r="U182" s="2666"/>
      <c r="V182" s="2666"/>
      <c r="W182" s="2666"/>
      <c r="X182" s="2667">
        <f>SUM(P182:S182)</f>
        <v>0</v>
      </c>
      <c r="Y182" s="2699"/>
    </row>
    <row r="183" spans="1:26" s="2463" customFormat="1" ht="15" hidden="1" customHeight="1">
      <c r="A183" s="2700"/>
      <c r="B183" s="2668" t="s">
        <v>21</v>
      </c>
      <c r="C183" s="2669"/>
      <c r="D183" s="2670">
        <f>+D198+D210+D217</f>
        <v>0</v>
      </c>
      <c r="E183" s="2670">
        <f t="shared" ref="E183:R183" si="223">+E198+E210+E217</f>
        <v>0</v>
      </c>
      <c r="F183" s="2670">
        <f t="shared" si="223"/>
        <v>0</v>
      </c>
      <c r="G183" s="2670">
        <f t="shared" si="223"/>
        <v>0</v>
      </c>
      <c r="H183" s="2670">
        <f t="shared" si="223"/>
        <v>0</v>
      </c>
      <c r="I183" s="2670">
        <f t="shared" si="223"/>
        <v>0</v>
      </c>
      <c r="J183" s="2670">
        <f t="shared" si="223"/>
        <v>0</v>
      </c>
      <c r="K183" s="2670">
        <f t="shared" si="223"/>
        <v>0</v>
      </c>
      <c r="L183" s="2670">
        <f t="shared" si="223"/>
        <v>0</v>
      </c>
      <c r="M183" s="2670">
        <f t="shared" ref="M183" si="224">+M198+M210+M217</f>
        <v>0</v>
      </c>
      <c r="N183" s="2670">
        <f t="shared" si="223"/>
        <v>0</v>
      </c>
      <c r="O183" s="2670">
        <f t="shared" si="223"/>
        <v>0</v>
      </c>
      <c r="P183" s="2670">
        <f t="shared" si="223"/>
        <v>0</v>
      </c>
      <c r="Q183" s="2670">
        <f t="shared" si="223"/>
        <v>0</v>
      </c>
      <c r="R183" s="2670">
        <f t="shared" si="223"/>
        <v>0</v>
      </c>
      <c r="S183" s="2670"/>
      <c r="T183" s="2670"/>
      <c r="U183" s="2670"/>
      <c r="V183" s="2670"/>
      <c r="W183" s="2670"/>
      <c r="X183" s="2667">
        <f>SUM(P183:S183)</f>
        <v>0</v>
      </c>
      <c r="Y183" s="2699"/>
      <c r="Z183" s="2004"/>
    </row>
    <row r="184" spans="1:26" ht="14.25" hidden="1" customHeight="1">
      <c r="A184" s="2700"/>
      <c r="B184" s="381" t="s">
        <v>22</v>
      </c>
      <c r="C184" s="2671"/>
      <c r="D184" s="2672">
        <f>+D185</f>
        <v>0</v>
      </c>
      <c r="E184" s="2673">
        <f t="shared" ref="E184:O184" si="225">+E185</f>
        <v>0</v>
      </c>
      <c r="F184" s="2672">
        <f t="shared" si="225"/>
        <v>0</v>
      </c>
      <c r="G184" s="2672">
        <f t="shared" si="225"/>
        <v>0</v>
      </c>
      <c r="H184" s="2672">
        <f t="shared" si="225"/>
        <v>0</v>
      </c>
      <c r="I184" s="2673">
        <f t="shared" si="225"/>
        <v>0</v>
      </c>
      <c r="J184" s="2673">
        <f t="shared" si="225"/>
        <v>0</v>
      </c>
      <c r="K184" s="2673">
        <f t="shared" si="225"/>
        <v>0</v>
      </c>
      <c r="L184" s="2673">
        <f t="shared" si="225"/>
        <v>0</v>
      </c>
      <c r="M184" s="2673">
        <f t="shared" si="225"/>
        <v>0</v>
      </c>
      <c r="N184" s="2673">
        <f t="shared" si="225"/>
        <v>0</v>
      </c>
      <c r="O184" s="2673">
        <f t="shared" si="225"/>
        <v>0</v>
      </c>
      <c r="P184" s="2673"/>
      <c r="Q184" s="2673"/>
      <c r="R184" s="2145"/>
      <c r="S184" s="2145"/>
      <c r="T184" s="2145"/>
      <c r="U184" s="2145"/>
      <c r="V184" s="2145"/>
      <c r="W184" s="2145"/>
      <c r="X184" s="2112">
        <f>+X185</f>
        <v>0</v>
      </c>
      <c r="Y184" s="2699"/>
      <c r="Z184" s="2465"/>
    </row>
    <row r="185" spans="1:26" ht="12.95" hidden="1" customHeight="1">
      <c r="A185" s="2714"/>
      <c r="B185" s="2589" t="s">
        <v>23</v>
      </c>
      <c r="C185" s="2590"/>
      <c r="D185" s="2591">
        <f>+D189+D190</f>
        <v>0</v>
      </c>
      <c r="E185" s="2591">
        <f t="shared" ref="E185:N185" si="226">+E189+E190</f>
        <v>0</v>
      </c>
      <c r="F185" s="2591">
        <f t="shared" si="226"/>
        <v>0</v>
      </c>
      <c r="G185" s="2591">
        <f t="shared" si="226"/>
        <v>0</v>
      </c>
      <c r="H185" s="2591">
        <f t="shared" si="226"/>
        <v>0</v>
      </c>
      <c r="I185" s="2591">
        <f t="shared" si="226"/>
        <v>0</v>
      </c>
      <c r="J185" s="2591">
        <f t="shared" si="226"/>
        <v>0</v>
      </c>
      <c r="K185" s="2591">
        <f t="shared" si="226"/>
        <v>0</v>
      </c>
      <c r="L185" s="2591">
        <f t="shared" si="226"/>
        <v>0</v>
      </c>
      <c r="M185" s="2591">
        <f t="shared" ref="M185" si="227">+M189+M190</f>
        <v>0</v>
      </c>
      <c r="N185" s="2591">
        <f t="shared" si="226"/>
        <v>0</v>
      </c>
      <c r="O185" s="2591">
        <f>+O189+O190</f>
        <v>0</v>
      </c>
      <c r="P185" s="2591"/>
      <c r="Q185" s="2591"/>
      <c r="R185" s="2591"/>
      <c r="S185" s="2591"/>
      <c r="T185" s="2591"/>
      <c r="U185" s="2591"/>
      <c r="V185" s="2591"/>
      <c r="W185" s="2591"/>
      <c r="X185" s="2592">
        <f>+X189+X190</f>
        <v>0</v>
      </c>
      <c r="Y185" s="2699"/>
    </row>
    <row r="186" spans="1:26" ht="12.95" hidden="1" customHeight="1">
      <c r="A186" s="2705"/>
      <c r="B186" s="2598" t="s">
        <v>24</v>
      </c>
      <c r="C186" s="2674"/>
      <c r="D186" s="2599">
        <v>0</v>
      </c>
      <c r="E186" s="2599">
        <v>0</v>
      </c>
      <c r="F186" s="2599">
        <v>0</v>
      </c>
      <c r="G186" s="2599">
        <v>0</v>
      </c>
      <c r="H186" s="2599">
        <v>0</v>
      </c>
      <c r="I186" s="2599">
        <v>0</v>
      </c>
      <c r="J186" s="2599">
        <v>0</v>
      </c>
      <c r="K186" s="2599">
        <v>0</v>
      </c>
      <c r="L186" s="2675">
        <v>0</v>
      </c>
      <c r="M186" s="2675">
        <v>0</v>
      </c>
      <c r="N186" s="2675">
        <v>0</v>
      </c>
      <c r="O186" s="2599"/>
      <c r="P186" s="2599"/>
      <c r="Q186" s="2599"/>
      <c r="R186" s="2599"/>
      <c r="S186" s="2599"/>
      <c r="T186" s="2599"/>
      <c r="U186" s="2599"/>
      <c r="V186" s="2599"/>
      <c r="W186" s="2599"/>
      <c r="X186" s="2615"/>
      <c r="Y186" s="2699"/>
    </row>
    <row r="187" spans="1:26" ht="13.5" hidden="1" customHeight="1">
      <c r="A187" s="2705"/>
      <c r="B187" s="2676" t="s">
        <v>25</v>
      </c>
      <c r="C187" s="2677"/>
      <c r="D187" s="2678">
        <v>0</v>
      </c>
      <c r="E187" s="2678">
        <v>0</v>
      </c>
      <c r="F187" s="2678">
        <v>0</v>
      </c>
      <c r="G187" s="2678">
        <v>0</v>
      </c>
      <c r="H187" s="2678">
        <v>0</v>
      </c>
      <c r="I187" s="2678">
        <v>0</v>
      </c>
      <c r="J187" s="2678">
        <v>0</v>
      </c>
      <c r="K187" s="2678">
        <v>0</v>
      </c>
      <c r="L187" s="2679">
        <v>0</v>
      </c>
      <c r="M187" s="2679">
        <v>0</v>
      </c>
      <c r="N187" s="2679">
        <v>0</v>
      </c>
      <c r="O187" s="2678"/>
      <c r="P187" s="2678"/>
      <c r="Q187" s="2678"/>
      <c r="R187" s="2678"/>
      <c r="S187" s="2678"/>
      <c r="T187" s="2678"/>
      <c r="U187" s="2678"/>
      <c r="V187" s="2678"/>
      <c r="W187" s="2678"/>
      <c r="X187" s="2615"/>
      <c r="Y187" s="2699"/>
    </row>
    <row r="188" spans="1:26" ht="12.75" hidden="1" customHeight="1">
      <c r="A188" s="2705"/>
      <c r="B188" s="380" t="s">
        <v>25</v>
      </c>
      <c r="C188" s="2677"/>
      <c r="D188" s="2678">
        <v>0</v>
      </c>
      <c r="E188" s="2678">
        <v>0</v>
      </c>
      <c r="F188" s="2678">
        <v>0</v>
      </c>
      <c r="G188" s="2678">
        <v>0</v>
      </c>
      <c r="H188" s="2678">
        <v>0</v>
      </c>
      <c r="I188" s="2678">
        <v>0</v>
      </c>
      <c r="J188" s="2678">
        <v>0</v>
      </c>
      <c r="K188" s="2678">
        <v>0</v>
      </c>
      <c r="L188" s="2679">
        <v>0</v>
      </c>
      <c r="M188" s="2679">
        <v>0</v>
      </c>
      <c r="N188" s="2679">
        <v>0</v>
      </c>
      <c r="O188" s="2678"/>
      <c r="P188" s="2678"/>
      <c r="Q188" s="2678"/>
      <c r="R188" s="2678"/>
      <c r="S188" s="2678"/>
      <c r="T188" s="2678"/>
      <c r="U188" s="2678"/>
      <c r="V188" s="2678"/>
      <c r="W188" s="2678"/>
      <c r="X188" s="2615"/>
      <c r="Y188" s="2699"/>
    </row>
    <row r="189" spans="1:26" s="2542" customFormat="1" ht="12.75" hidden="1" customHeight="1">
      <c r="A189" s="2715"/>
      <c r="B189" s="2680" t="s">
        <v>26</v>
      </c>
      <c r="C189" s="2677"/>
      <c r="D189" s="2678">
        <f>+D201+D219</f>
        <v>0</v>
      </c>
      <c r="E189" s="2678">
        <f t="shared" ref="E189:O189" si="228">+E201+E219</f>
        <v>0</v>
      </c>
      <c r="F189" s="2678">
        <f t="shared" si="228"/>
        <v>0</v>
      </c>
      <c r="G189" s="2678">
        <f t="shared" si="228"/>
        <v>0</v>
      </c>
      <c r="H189" s="2678">
        <f t="shared" si="228"/>
        <v>0</v>
      </c>
      <c r="I189" s="2678">
        <f t="shared" si="228"/>
        <v>0</v>
      </c>
      <c r="J189" s="2678">
        <f t="shared" si="228"/>
        <v>0</v>
      </c>
      <c r="K189" s="2678">
        <f t="shared" ref="K189:L189" si="229">+K201+K219</f>
        <v>0</v>
      </c>
      <c r="L189" s="2678">
        <f t="shared" si="229"/>
        <v>0</v>
      </c>
      <c r="M189" s="2678">
        <f t="shared" ref="M189" si="230">+M201+M219</f>
        <v>0</v>
      </c>
      <c r="N189" s="2678">
        <f t="shared" si="228"/>
        <v>0</v>
      </c>
      <c r="O189" s="2678">
        <f t="shared" si="228"/>
        <v>0</v>
      </c>
      <c r="P189" s="2678"/>
      <c r="Q189" s="2678"/>
      <c r="R189" s="2678"/>
      <c r="S189" s="2678"/>
      <c r="T189" s="2678"/>
      <c r="U189" s="2678"/>
      <c r="V189" s="2678"/>
      <c r="W189" s="2678"/>
      <c r="X189" s="2615">
        <f>SUM(P189:T189)</f>
        <v>0</v>
      </c>
      <c r="Y189" s="2716"/>
    </row>
    <row r="190" spans="1:26" ht="12.75" hidden="1" customHeight="1">
      <c r="A190" s="2705"/>
      <c r="B190" s="2598" t="s">
        <v>78</v>
      </c>
      <c r="C190" s="375"/>
      <c r="D190" s="2599">
        <f>+D202+D212+D220</f>
        <v>0</v>
      </c>
      <c r="E190" s="2599">
        <f t="shared" ref="E190:O190" si="231">+E202+E212+E220</f>
        <v>0</v>
      </c>
      <c r="F190" s="2599">
        <f t="shared" si="231"/>
        <v>0</v>
      </c>
      <c r="G190" s="2599">
        <f t="shared" si="231"/>
        <v>0</v>
      </c>
      <c r="H190" s="2599">
        <f t="shared" si="231"/>
        <v>0</v>
      </c>
      <c r="I190" s="2599">
        <f t="shared" si="231"/>
        <v>0</v>
      </c>
      <c r="J190" s="2599">
        <f t="shared" si="231"/>
        <v>0</v>
      </c>
      <c r="K190" s="2599">
        <f t="shared" ref="K190:L190" si="232">+K202+K212+K220</f>
        <v>0</v>
      </c>
      <c r="L190" s="2599">
        <f t="shared" si="232"/>
        <v>0</v>
      </c>
      <c r="M190" s="2599">
        <f t="shared" ref="M190" si="233">+M202+M212+M220</f>
        <v>0</v>
      </c>
      <c r="N190" s="2599"/>
      <c r="O190" s="2599">
        <f t="shared" si="231"/>
        <v>0</v>
      </c>
      <c r="P190" s="2599"/>
      <c r="Q190" s="2599"/>
      <c r="R190" s="2599"/>
      <c r="S190" s="2599"/>
      <c r="T190" s="2599"/>
      <c r="U190" s="2599"/>
      <c r="V190" s="2599"/>
      <c r="W190" s="2599"/>
      <c r="X190" s="2615">
        <f>SUM(P190:T190)</f>
        <v>0</v>
      </c>
      <c r="Y190" s="2699"/>
    </row>
    <row r="191" spans="1:26" ht="15" hidden="1" customHeight="1">
      <c r="A191" s="2700"/>
      <c r="B191" s="381" t="s">
        <v>34</v>
      </c>
      <c r="C191" s="382"/>
      <c r="D191" s="2648">
        <f>+D192</f>
        <v>0</v>
      </c>
      <c r="E191" s="2648">
        <f t="shared" ref="E191:O191" si="234">+E192</f>
        <v>0</v>
      </c>
      <c r="F191" s="2648">
        <f t="shared" si="234"/>
        <v>0</v>
      </c>
      <c r="G191" s="2648">
        <f t="shared" si="234"/>
        <v>0</v>
      </c>
      <c r="H191" s="2648">
        <f t="shared" si="234"/>
        <v>0</v>
      </c>
      <c r="I191" s="2648">
        <f t="shared" si="234"/>
        <v>0</v>
      </c>
      <c r="J191" s="2648">
        <f t="shared" si="234"/>
        <v>0</v>
      </c>
      <c r="K191" s="2648">
        <f t="shared" si="234"/>
        <v>0</v>
      </c>
      <c r="L191" s="2648">
        <f t="shared" si="234"/>
        <v>0</v>
      </c>
      <c r="M191" s="2648">
        <f t="shared" si="234"/>
        <v>0</v>
      </c>
      <c r="N191" s="2648">
        <f t="shared" si="234"/>
        <v>0</v>
      </c>
      <c r="O191" s="2648">
        <f t="shared" si="234"/>
        <v>0</v>
      </c>
      <c r="P191" s="2648"/>
      <c r="Q191" s="2648"/>
      <c r="R191" s="2648"/>
      <c r="S191" s="2648"/>
      <c r="T191" s="2648"/>
      <c r="U191" s="2648"/>
      <c r="V191" s="2648"/>
      <c r="W191" s="2648"/>
      <c r="X191" s="2681"/>
      <c r="Y191" s="2699"/>
    </row>
    <row r="192" spans="1:26" ht="12" hidden="1" customHeight="1">
      <c r="A192" s="2703"/>
      <c r="B192" s="2589" t="s">
        <v>23</v>
      </c>
      <c r="C192" s="2590"/>
      <c r="D192" s="2591">
        <f t="shared" ref="D192:N192" si="235">SUM(D194:D196)</f>
        <v>0</v>
      </c>
      <c r="E192" s="2591">
        <f t="shared" si="235"/>
        <v>0</v>
      </c>
      <c r="F192" s="2591">
        <f t="shared" si="235"/>
        <v>0</v>
      </c>
      <c r="G192" s="2591">
        <f t="shared" si="235"/>
        <v>0</v>
      </c>
      <c r="H192" s="2591">
        <f t="shared" si="235"/>
        <v>0</v>
      </c>
      <c r="I192" s="2591">
        <f t="shared" si="235"/>
        <v>0</v>
      </c>
      <c r="J192" s="2591">
        <f t="shared" si="235"/>
        <v>0</v>
      </c>
      <c r="K192" s="2591">
        <f t="shared" si="235"/>
        <v>0</v>
      </c>
      <c r="L192" s="2591">
        <f t="shared" si="235"/>
        <v>0</v>
      </c>
      <c r="M192" s="2591">
        <f t="shared" ref="M192" si="236">SUM(M194:M196)</f>
        <v>0</v>
      </c>
      <c r="N192" s="2591">
        <f t="shared" si="235"/>
        <v>0</v>
      </c>
      <c r="O192" s="2591">
        <f>SUM(O194:O196)</f>
        <v>0</v>
      </c>
      <c r="P192" s="2591"/>
      <c r="Q192" s="2591"/>
      <c r="R192" s="2591"/>
      <c r="S192" s="2591"/>
      <c r="T192" s="2591"/>
      <c r="U192" s="2591"/>
      <c r="V192" s="2591"/>
      <c r="W192" s="2591"/>
      <c r="X192" s="2681"/>
      <c r="Y192" s="2699"/>
    </row>
    <row r="193" spans="1:25" ht="13.5" hidden="1" customHeight="1">
      <c r="A193" s="2705"/>
      <c r="B193" s="380" t="s">
        <v>25</v>
      </c>
      <c r="C193" s="375"/>
      <c r="D193" s="2675">
        <v>0</v>
      </c>
      <c r="E193" s="2599">
        <v>0</v>
      </c>
      <c r="F193" s="2599">
        <v>0</v>
      </c>
      <c r="G193" s="2599">
        <v>0</v>
      </c>
      <c r="H193" s="2599">
        <v>0</v>
      </c>
      <c r="I193" s="2599">
        <v>0</v>
      </c>
      <c r="J193" s="2599">
        <v>0</v>
      </c>
      <c r="K193" s="2599">
        <v>0</v>
      </c>
      <c r="L193" s="2675">
        <v>0</v>
      </c>
      <c r="M193" s="2675">
        <v>0</v>
      </c>
      <c r="N193" s="2675">
        <v>0</v>
      </c>
      <c r="O193" s="2599"/>
      <c r="P193" s="2599"/>
      <c r="Q193" s="2599"/>
      <c r="R193" s="2599"/>
      <c r="S193" s="2599"/>
      <c r="T193" s="2599"/>
      <c r="U193" s="2599"/>
      <c r="V193" s="2599"/>
      <c r="W193" s="2599"/>
      <c r="X193" s="2681"/>
      <c r="Y193" s="2699"/>
    </row>
    <row r="194" spans="1:25" ht="12.95" hidden="1" customHeight="1">
      <c r="A194" s="2705"/>
      <c r="B194" s="380" t="s">
        <v>25</v>
      </c>
      <c r="C194" s="2674"/>
      <c r="D194" s="2675">
        <v>0</v>
      </c>
      <c r="E194" s="2675">
        <v>0</v>
      </c>
      <c r="F194" s="2675">
        <v>0</v>
      </c>
      <c r="G194" s="2675">
        <v>0</v>
      </c>
      <c r="H194" s="2675">
        <v>0</v>
      </c>
      <c r="I194" s="2675">
        <v>0</v>
      </c>
      <c r="J194" s="2675">
        <v>0</v>
      </c>
      <c r="K194" s="2675">
        <v>0</v>
      </c>
      <c r="L194" s="2675">
        <v>0</v>
      </c>
      <c r="M194" s="2675">
        <v>0</v>
      </c>
      <c r="N194" s="2675">
        <v>0</v>
      </c>
      <c r="O194" s="2675"/>
      <c r="P194" s="2675"/>
      <c r="Q194" s="2675"/>
      <c r="R194" s="2675"/>
      <c r="S194" s="2675"/>
      <c r="T194" s="2675"/>
      <c r="U194" s="2675"/>
      <c r="V194" s="2675"/>
      <c r="W194" s="2675"/>
      <c r="X194" s="2681"/>
      <c r="Y194" s="2699"/>
    </row>
    <row r="195" spans="1:25" ht="13.5" hidden="1" customHeight="1">
      <c r="A195" s="2705"/>
      <c r="B195" s="2598" t="s">
        <v>26</v>
      </c>
      <c r="C195" s="2674"/>
      <c r="D195" s="2675">
        <f>+D207+D223</f>
        <v>0</v>
      </c>
      <c r="E195" s="2675">
        <f t="shared" ref="E195:O195" si="237">+E207+E223</f>
        <v>0</v>
      </c>
      <c r="F195" s="2675">
        <f t="shared" si="237"/>
        <v>0</v>
      </c>
      <c r="G195" s="2675">
        <f t="shared" si="237"/>
        <v>0</v>
      </c>
      <c r="H195" s="2675">
        <f t="shared" si="237"/>
        <v>0</v>
      </c>
      <c r="I195" s="2675">
        <f t="shared" si="237"/>
        <v>0</v>
      </c>
      <c r="J195" s="2675">
        <f t="shared" si="237"/>
        <v>0</v>
      </c>
      <c r="K195" s="2675">
        <f t="shared" ref="K195:L195" si="238">+K207+K223</f>
        <v>0</v>
      </c>
      <c r="L195" s="2675">
        <f t="shared" si="238"/>
        <v>0</v>
      </c>
      <c r="M195" s="2675">
        <f t="shared" ref="M195" si="239">+M207+M223</f>
        <v>0</v>
      </c>
      <c r="N195" s="2675">
        <f t="shared" si="237"/>
        <v>0</v>
      </c>
      <c r="O195" s="2675">
        <f t="shared" si="237"/>
        <v>0</v>
      </c>
      <c r="P195" s="2675"/>
      <c r="Q195" s="2675"/>
      <c r="R195" s="2675"/>
      <c r="S195" s="2675"/>
      <c r="T195" s="2675"/>
      <c r="U195" s="2675"/>
      <c r="V195" s="2675"/>
      <c r="W195" s="2675"/>
      <c r="X195" s="2681"/>
      <c r="Y195" s="2699"/>
    </row>
    <row r="196" spans="1:25" ht="14.25" hidden="1" customHeight="1">
      <c r="A196" s="2705"/>
      <c r="B196" s="2598" t="s">
        <v>78</v>
      </c>
      <c r="C196" s="2674"/>
      <c r="D196" s="2675">
        <f>+D208+D215+D224</f>
        <v>0</v>
      </c>
      <c r="E196" s="2675">
        <f t="shared" ref="E196:O196" si="240">+E208+E215+E224</f>
        <v>0</v>
      </c>
      <c r="F196" s="2675">
        <f t="shared" si="240"/>
        <v>0</v>
      </c>
      <c r="G196" s="2675">
        <f t="shared" si="240"/>
        <v>0</v>
      </c>
      <c r="H196" s="2675">
        <f t="shared" si="240"/>
        <v>0</v>
      </c>
      <c r="I196" s="2675">
        <f t="shared" si="240"/>
        <v>0</v>
      </c>
      <c r="J196" s="2675">
        <f t="shared" si="240"/>
        <v>0</v>
      </c>
      <c r="K196" s="2675">
        <f t="shared" ref="K196:L196" si="241">+K208+K215+K224</f>
        <v>0</v>
      </c>
      <c r="L196" s="2675">
        <f t="shared" si="241"/>
        <v>0</v>
      </c>
      <c r="M196" s="2675">
        <f t="shared" ref="M196" si="242">+M208+M215+M224</f>
        <v>0</v>
      </c>
      <c r="N196" s="2675"/>
      <c r="O196" s="2675">
        <f t="shared" si="240"/>
        <v>0</v>
      </c>
      <c r="P196" s="2675"/>
      <c r="Q196" s="2675"/>
      <c r="R196" s="2675"/>
      <c r="S196" s="2675"/>
      <c r="T196" s="2675"/>
      <c r="U196" s="2675"/>
      <c r="V196" s="2675"/>
      <c r="W196" s="2675"/>
      <c r="X196" s="2681"/>
      <c r="Y196" s="2720"/>
    </row>
    <row r="197" spans="1:25" s="2500" customFormat="1" ht="18.75" hidden="1" customHeight="1">
      <c r="A197" s="4554" t="s">
        <v>79</v>
      </c>
      <c r="B197" s="2600" t="s">
        <v>260</v>
      </c>
      <c r="C197" s="2644" t="s">
        <v>98</v>
      </c>
      <c r="D197" s="2644"/>
      <c r="E197" s="2625"/>
      <c r="F197" s="2625"/>
      <c r="G197" s="2625"/>
      <c r="H197" s="2625"/>
      <c r="I197" s="2601"/>
      <c r="J197" s="2601"/>
      <c r="K197" s="2601"/>
      <c r="L197" s="2601"/>
      <c r="M197" s="2601"/>
      <c r="N197" s="2601"/>
      <c r="O197" s="2645"/>
      <c r="P197" s="2645"/>
      <c r="Q197" s="2645"/>
      <c r="R197" s="2645"/>
      <c r="S197" s="2645"/>
      <c r="T197" s="2645"/>
      <c r="U197" s="2645"/>
      <c r="V197" s="2645"/>
      <c r="W197" s="2645"/>
      <c r="X197" s="2626"/>
      <c r="Y197" s="4556" t="s">
        <v>247</v>
      </c>
    </row>
    <row r="198" spans="1:25" s="2500" customFormat="1" ht="13.5" hidden="1" customHeight="1">
      <c r="A198" s="4554"/>
      <c r="B198" s="381" t="s">
        <v>22</v>
      </c>
      <c r="C198" s="2658"/>
      <c r="D198" s="2627">
        <f t="shared" ref="D198:L198" si="243">+D199+D203</f>
        <v>0</v>
      </c>
      <c r="E198" s="2682">
        <f t="shared" si="243"/>
        <v>0</v>
      </c>
      <c r="F198" s="2682">
        <f t="shared" si="243"/>
        <v>0</v>
      </c>
      <c r="G198" s="2682">
        <f t="shared" si="243"/>
        <v>0</v>
      </c>
      <c r="H198" s="2682">
        <f t="shared" si="243"/>
        <v>0</v>
      </c>
      <c r="I198" s="2682">
        <f t="shared" si="243"/>
        <v>0</v>
      </c>
      <c r="J198" s="2682">
        <f t="shared" si="243"/>
        <v>0</v>
      </c>
      <c r="K198" s="2627">
        <f t="shared" si="243"/>
        <v>0</v>
      </c>
      <c r="L198" s="2627">
        <f t="shared" si="243"/>
        <v>0</v>
      </c>
      <c r="M198" s="2627"/>
      <c r="N198" s="2627"/>
      <c r="O198" s="2627"/>
      <c r="P198" s="2627"/>
      <c r="Q198" s="2627"/>
      <c r="R198" s="2627"/>
      <c r="S198" s="2627"/>
      <c r="T198" s="2627"/>
      <c r="U198" s="2627"/>
      <c r="V198" s="2627"/>
      <c r="W198" s="2627"/>
      <c r="X198" s="2650"/>
      <c r="Y198" s="4556"/>
    </row>
    <row r="199" spans="1:25" s="2500" customFormat="1" ht="13.5" hidden="1" customHeight="1">
      <c r="A199" s="4554"/>
      <c r="B199" s="2609" t="s">
        <v>23</v>
      </c>
      <c r="C199" s="4558" t="s">
        <v>248</v>
      </c>
      <c r="D199" s="2611">
        <f>+D200+D201+D202</f>
        <v>0</v>
      </c>
      <c r="E199" s="2636">
        <f t="shared" ref="E199:L199" si="244">+E200+E201+E202</f>
        <v>0</v>
      </c>
      <c r="F199" s="2636">
        <f t="shared" si="244"/>
        <v>0</v>
      </c>
      <c r="G199" s="2636">
        <f t="shared" si="244"/>
        <v>0</v>
      </c>
      <c r="H199" s="2636">
        <f t="shared" si="244"/>
        <v>0</v>
      </c>
      <c r="I199" s="2636">
        <f t="shared" si="244"/>
        <v>0</v>
      </c>
      <c r="J199" s="2636">
        <f t="shared" si="244"/>
        <v>0</v>
      </c>
      <c r="K199" s="2611">
        <f t="shared" si="244"/>
        <v>0</v>
      </c>
      <c r="L199" s="2611">
        <f t="shared" si="244"/>
        <v>0</v>
      </c>
      <c r="M199" s="2611"/>
      <c r="N199" s="2611"/>
      <c r="O199" s="2611"/>
      <c r="P199" s="2611"/>
      <c r="Q199" s="2611"/>
      <c r="R199" s="2611"/>
      <c r="S199" s="2611"/>
      <c r="T199" s="2611"/>
      <c r="U199" s="2611"/>
      <c r="V199" s="2611"/>
      <c r="W199" s="2611"/>
      <c r="X199" s="2651"/>
      <c r="Y199" s="4556"/>
    </row>
    <row r="200" spans="1:25" s="2500" customFormat="1" ht="13.5" hidden="1" customHeight="1">
      <c r="A200" s="4554"/>
      <c r="B200" s="510" t="s">
        <v>24</v>
      </c>
      <c r="C200" s="4560"/>
      <c r="D200" s="2107">
        <f>+E200+I200+J200+K200+L200+N200</f>
        <v>0</v>
      </c>
      <c r="E200" s="2635"/>
      <c r="F200" s="2635"/>
      <c r="G200" s="2635"/>
      <c r="H200" s="2635"/>
      <c r="I200" s="2633"/>
      <c r="J200" s="2633"/>
      <c r="K200" s="2613"/>
      <c r="L200" s="2613"/>
      <c r="M200" s="2613"/>
      <c r="N200" s="2613"/>
      <c r="O200" s="2614"/>
      <c r="P200" s="2613"/>
      <c r="Q200" s="2614"/>
      <c r="R200" s="2614"/>
      <c r="S200" s="2614"/>
      <c r="T200" s="2614"/>
      <c r="U200" s="2614"/>
      <c r="V200" s="2614"/>
      <c r="W200" s="2614"/>
      <c r="X200" s="2683"/>
      <c r="Y200" s="4556"/>
    </row>
    <row r="201" spans="1:25" s="2500" customFormat="1" ht="14.25" hidden="1" customHeight="1">
      <c r="A201" s="4554"/>
      <c r="B201" s="510" t="s">
        <v>26</v>
      </c>
      <c r="C201" s="4560"/>
      <c r="D201" s="2107">
        <f>+E201+I201+J201+K201+L201+N201</f>
        <v>0</v>
      </c>
      <c r="E201" s="2635">
        <v>0</v>
      </c>
      <c r="F201" s="2635"/>
      <c r="G201" s="2635"/>
      <c r="H201" s="2635"/>
      <c r="I201" s="2633">
        <v>0</v>
      </c>
      <c r="J201" s="2633">
        <v>0</v>
      </c>
      <c r="K201" s="2613"/>
      <c r="L201" s="2613"/>
      <c r="M201" s="2613"/>
      <c r="N201" s="2613"/>
      <c r="O201" s="2614"/>
      <c r="P201" s="2613"/>
      <c r="Q201" s="2613"/>
      <c r="R201" s="2613"/>
      <c r="S201" s="2613"/>
      <c r="T201" s="2613"/>
      <c r="U201" s="2613"/>
      <c r="V201" s="2613"/>
      <c r="W201" s="2613"/>
      <c r="X201" s="2615"/>
      <c r="Y201" s="4556"/>
    </row>
    <row r="202" spans="1:25" s="2500" customFormat="1" hidden="1">
      <c r="A202" s="4554"/>
      <c r="B202" s="510" t="s">
        <v>28</v>
      </c>
      <c r="C202" s="4560"/>
      <c r="D202" s="2663">
        <f>+E202+I202+J202+K202+L202+N202+O202+P202</f>
        <v>0</v>
      </c>
      <c r="E202" s="2635">
        <v>0</v>
      </c>
      <c r="F202" s="2635"/>
      <c r="G202" s="2635"/>
      <c r="H202" s="2635"/>
      <c r="I202" s="2633">
        <v>0</v>
      </c>
      <c r="J202" s="2633">
        <v>0</v>
      </c>
      <c r="K202" s="2613"/>
      <c r="L202" s="2613"/>
      <c r="M202" s="2613"/>
      <c r="N202" s="2613"/>
      <c r="O202" s="2614"/>
      <c r="P202" s="2613"/>
      <c r="Q202" s="2613"/>
      <c r="R202" s="2613"/>
      <c r="S202" s="2613"/>
      <c r="T202" s="2613"/>
      <c r="U202" s="2613"/>
      <c r="V202" s="2613"/>
      <c r="W202" s="2613"/>
      <c r="X202" s="2615"/>
      <c r="Y202" s="4556"/>
    </row>
    <row r="203" spans="1:25" s="2500" customFormat="1" ht="13.5" hidden="1" customHeight="1">
      <c r="A203" s="4554"/>
      <c r="B203" s="2652" t="s">
        <v>30</v>
      </c>
      <c r="C203" s="4560"/>
      <c r="D203" s="2619">
        <f t="shared" ref="D203:P203" si="245">+D204</f>
        <v>0</v>
      </c>
      <c r="E203" s="2631">
        <f t="shared" si="245"/>
        <v>0</v>
      </c>
      <c r="F203" s="2631"/>
      <c r="G203" s="2631"/>
      <c r="H203" s="2631">
        <f t="shared" si="245"/>
        <v>0</v>
      </c>
      <c r="I203" s="2636">
        <f t="shared" si="245"/>
        <v>0</v>
      </c>
      <c r="J203" s="2636">
        <f t="shared" si="245"/>
        <v>0</v>
      </c>
      <c r="K203" s="2611">
        <f t="shared" si="245"/>
        <v>0</v>
      </c>
      <c r="L203" s="2611">
        <f t="shared" si="245"/>
        <v>0</v>
      </c>
      <c r="M203" s="2611"/>
      <c r="N203" s="2611">
        <f t="shared" si="245"/>
        <v>0</v>
      </c>
      <c r="O203" s="2611">
        <f t="shared" si="245"/>
        <v>0</v>
      </c>
      <c r="P203" s="2611">
        <f t="shared" si="245"/>
        <v>0</v>
      </c>
      <c r="Q203" s="2623"/>
      <c r="R203" s="2623"/>
      <c r="S203" s="2623"/>
      <c r="T203" s="2623"/>
      <c r="U203" s="2623"/>
      <c r="V203" s="2623"/>
      <c r="W203" s="2623"/>
      <c r="X203" s="2684"/>
      <c r="Y203" s="4556"/>
    </row>
    <row r="204" spans="1:25" s="2500" customFormat="1" ht="13.5" hidden="1" customHeight="1">
      <c r="A204" s="4554"/>
      <c r="B204" s="510" t="s">
        <v>26</v>
      </c>
      <c r="C204" s="4560"/>
      <c r="D204" s="2663">
        <f>+E204+I204+J204+K204+L204+N204</f>
        <v>0</v>
      </c>
      <c r="E204" s="2635"/>
      <c r="F204" s="2635"/>
      <c r="G204" s="2635"/>
      <c r="H204" s="2635"/>
      <c r="I204" s="2633"/>
      <c r="J204" s="2633"/>
      <c r="K204" s="2613"/>
      <c r="L204" s="2613"/>
      <c r="M204" s="2613"/>
      <c r="N204" s="2613"/>
      <c r="O204" s="2614"/>
      <c r="P204" s="2613"/>
      <c r="Q204" s="2614"/>
      <c r="R204" s="2614"/>
      <c r="S204" s="2614"/>
      <c r="T204" s="2614"/>
      <c r="U204" s="2614"/>
      <c r="V204" s="2614"/>
      <c r="W204" s="2614"/>
      <c r="X204" s="2683"/>
      <c r="Y204" s="4556"/>
    </row>
    <row r="205" spans="1:25" s="2500" customFormat="1" ht="13.5" hidden="1" customHeight="1">
      <c r="A205" s="4554"/>
      <c r="B205" s="381" t="s">
        <v>34</v>
      </c>
      <c r="C205" s="2658"/>
      <c r="D205" s="2627">
        <f>+D206</f>
        <v>0</v>
      </c>
      <c r="E205" s="2682">
        <f t="shared" ref="E205:L205" si="246">+E206</f>
        <v>0</v>
      </c>
      <c r="F205" s="2682">
        <f t="shared" si="246"/>
        <v>0</v>
      </c>
      <c r="G205" s="2682">
        <f t="shared" si="246"/>
        <v>0</v>
      </c>
      <c r="H205" s="2682">
        <f t="shared" si="246"/>
        <v>0</v>
      </c>
      <c r="I205" s="2682">
        <f t="shared" si="246"/>
        <v>0</v>
      </c>
      <c r="J205" s="2682">
        <f t="shared" si="246"/>
        <v>0</v>
      </c>
      <c r="K205" s="2627">
        <f t="shared" si="246"/>
        <v>0</v>
      </c>
      <c r="L205" s="2627">
        <f t="shared" si="246"/>
        <v>0</v>
      </c>
      <c r="M205" s="2627"/>
      <c r="N205" s="2627"/>
      <c r="O205" s="2627"/>
      <c r="P205" s="2627"/>
      <c r="Q205" s="2627"/>
      <c r="R205" s="2627"/>
      <c r="S205" s="2627"/>
      <c r="T205" s="2627"/>
      <c r="U205" s="2627"/>
      <c r="V205" s="2627"/>
      <c r="W205" s="2627"/>
      <c r="X205" s="2685"/>
      <c r="Y205" s="4556"/>
    </row>
    <row r="206" spans="1:25" s="2500" customFormat="1" ht="13.5" hidden="1" customHeight="1">
      <c r="A206" s="4554"/>
      <c r="B206" s="2609" t="s">
        <v>23</v>
      </c>
      <c r="C206" s="4558" t="s">
        <v>248</v>
      </c>
      <c r="D206" s="2611">
        <f>+D207+D208</f>
        <v>0</v>
      </c>
      <c r="E206" s="2636">
        <f t="shared" ref="E206:L206" si="247">+E207+E208</f>
        <v>0</v>
      </c>
      <c r="F206" s="2636">
        <f t="shared" si="247"/>
        <v>0</v>
      </c>
      <c r="G206" s="2636">
        <f t="shared" si="247"/>
        <v>0</v>
      </c>
      <c r="H206" s="2636">
        <f t="shared" si="247"/>
        <v>0</v>
      </c>
      <c r="I206" s="2636">
        <f t="shared" si="247"/>
        <v>0</v>
      </c>
      <c r="J206" s="2636">
        <f t="shared" si="247"/>
        <v>0</v>
      </c>
      <c r="K206" s="2611">
        <f t="shared" si="247"/>
        <v>0</v>
      </c>
      <c r="L206" s="2611">
        <f t="shared" si="247"/>
        <v>0</v>
      </c>
      <c r="M206" s="2611"/>
      <c r="N206" s="2611"/>
      <c r="O206" s="2611"/>
      <c r="P206" s="2611"/>
      <c r="Q206" s="2611"/>
      <c r="R206" s="2611"/>
      <c r="S206" s="2611"/>
      <c r="T206" s="2611"/>
      <c r="U206" s="2611"/>
      <c r="V206" s="2611"/>
      <c r="W206" s="2611"/>
      <c r="X206" s="2685"/>
      <c r="Y206" s="4556"/>
    </row>
    <row r="207" spans="1:25" s="2500" customFormat="1" ht="12" hidden="1" customHeight="1">
      <c r="A207" s="4554"/>
      <c r="B207" s="510" t="s">
        <v>26</v>
      </c>
      <c r="C207" s="4558"/>
      <c r="D207" s="2107">
        <f>+E207+I207+J207+K207+L207+N207</f>
        <v>0</v>
      </c>
      <c r="E207" s="2635">
        <v>0</v>
      </c>
      <c r="F207" s="2635"/>
      <c r="G207" s="2635"/>
      <c r="H207" s="2635"/>
      <c r="I207" s="2633">
        <v>0</v>
      </c>
      <c r="J207" s="2633">
        <v>0</v>
      </c>
      <c r="K207" s="2613"/>
      <c r="L207" s="2613"/>
      <c r="M207" s="2613"/>
      <c r="N207" s="2613"/>
      <c r="O207" s="2614"/>
      <c r="P207" s="2613"/>
      <c r="Q207" s="2613"/>
      <c r="R207" s="2613"/>
      <c r="S207" s="2613"/>
      <c r="T207" s="2613"/>
      <c r="U207" s="2613"/>
      <c r="V207" s="2613"/>
      <c r="W207" s="2613"/>
      <c r="X207" s="2685"/>
      <c r="Y207" s="4556"/>
    </row>
    <row r="208" spans="1:25" s="2500" customFormat="1" ht="12.75" hidden="1" customHeight="1" thickBot="1">
      <c r="A208" s="4554"/>
      <c r="B208" s="510" t="s">
        <v>28</v>
      </c>
      <c r="C208" s="4558"/>
      <c r="D208" s="2107">
        <f>+E208+I208+J208+K208+L208+N208+O208+P208</f>
        <v>0</v>
      </c>
      <c r="E208" s="2635">
        <v>0</v>
      </c>
      <c r="F208" s="2635"/>
      <c r="G208" s="2635"/>
      <c r="H208" s="2635"/>
      <c r="I208" s="2633">
        <v>0</v>
      </c>
      <c r="J208" s="2633">
        <v>0</v>
      </c>
      <c r="K208" s="2613"/>
      <c r="L208" s="2613"/>
      <c r="M208" s="2613"/>
      <c r="N208" s="2613"/>
      <c r="O208" s="2614"/>
      <c r="P208" s="2614"/>
      <c r="Q208" s="2614"/>
      <c r="R208" s="2614"/>
      <c r="S208" s="2686"/>
      <c r="T208" s="2686"/>
      <c r="U208" s="2686"/>
      <c r="V208" s="2686"/>
      <c r="W208" s="2686"/>
      <c r="X208" s="2687"/>
      <c r="Y208" s="4556"/>
    </row>
    <row r="209" spans="1:25" hidden="1">
      <c r="A209" s="4554"/>
      <c r="B209" s="2600"/>
      <c r="C209" s="2644" t="s">
        <v>98</v>
      </c>
      <c r="D209" s="2688"/>
      <c r="E209" s="2625"/>
      <c r="F209" s="2625"/>
      <c r="G209" s="2625"/>
      <c r="H209" s="2625"/>
      <c r="I209" s="2601"/>
      <c r="J209" s="2601"/>
      <c r="K209" s="2601"/>
      <c r="L209" s="2601"/>
      <c r="M209" s="2601"/>
      <c r="N209" s="2601"/>
      <c r="O209" s="2645"/>
      <c r="P209" s="2645"/>
      <c r="Q209" s="2601"/>
      <c r="R209" s="2645"/>
      <c r="S209" s="2645"/>
      <c r="T209" s="2645"/>
      <c r="U209" s="2645"/>
      <c r="V209" s="2645"/>
      <c r="W209" s="2645"/>
      <c r="X209" s="2626"/>
      <c r="Y209" s="4556"/>
    </row>
    <row r="210" spans="1:25" ht="12.75" hidden="1" customHeight="1">
      <c r="A210" s="4554"/>
      <c r="B210" s="381" t="s">
        <v>22</v>
      </c>
      <c r="C210" s="2658"/>
      <c r="D210" s="2672">
        <f>+D211</f>
        <v>0</v>
      </c>
      <c r="E210" s="2689">
        <f t="shared" ref="E210:N211" si="248">+E211</f>
        <v>0</v>
      </c>
      <c r="F210" s="2690">
        <f t="shared" si="248"/>
        <v>0</v>
      </c>
      <c r="G210" s="2690">
        <f t="shared" si="248"/>
        <v>0</v>
      </c>
      <c r="H210" s="2690">
        <f t="shared" si="248"/>
        <v>0</v>
      </c>
      <c r="I210" s="2647">
        <f t="shared" si="248"/>
        <v>0</v>
      </c>
      <c r="J210" s="2647">
        <f t="shared" si="248"/>
        <v>0</v>
      </c>
      <c r="K210" s="2689">
        <f t="shared" si="248"/>
        <v>0</v>
      </c>
      <c r="L210" s="2673">
        <f t="shared" si="248"/>
        <v>0</v>
      </c>
      <c r="M210" s="2673">
        <f t="shared" si="248"/>
        <v>0</v>
      </c>
      <c r="N210" s="2145">
        <f t="shared" si="248"/>
        <v>0</v>
      </c>
      <c r="O210" s="2145"/>
      <c r="P210" s="2673"/>
      <c r="Q210" s="2606"/>
      <c r="R210" s="2627"/>
      <c r="S210" s="2627"/>
      <c r="T210" s="2627"/>
      <c r="U210" s="2627"/>
      <c r="V210" s="2627"/>
      <c r="W210" s="2627"/>
      <c r="X210" s="2650"/>
      <c r="Y210" s="4556"/>
    </row>
    <row r="211" spans="1:25" ht="13.5" hidden="1" customHeight="1">
      <c r="A211" s="4554"/>
      <c r="B211" s="2609" t="s">
        <v>23</v>
      </c>
      <c r="C211" s="4558" t="s">
        <v>248</v>
      </c>
      <c r="D211" s="2611">
        <f>+D212</f>
        <v>0</v>
      </c>
      <c r="E211" s="2636">
        <f t="shared" si="248"/>
        <v>0</v>
      </c>
      <c r="F211" s="2636">
        <f t="shared" si="248"/>
        <v>0</v>
      </c>
      <c r="G211" s="2636">
        <f t="shared" si="248"/>
        <v>0</v>
      </c>
      <c r="H211" s="2636">
        <f t="shared" si="248"/>
        <v>0</v>
      </c>
      <c r="I211" s="2636">
        <f t="shared" si="248"/>
        <v>0</v>
      </c>
      <c r="J211" s="2636">
        <f t="shared" si="248"/>
        <v>0</v>
      </c>
      <c r="K211" s="2636">
        <f t="shared" si="248"/>
        <v>0</v>
      </c>
      <c r="L211" s="2611">
        <f t="shared" si="248"/>
        <v>0</v>
      </c>
      <c r="M211" s="2611">
        <f t="shared" si="248"/>
        <v>0</v>
      </c>
      <c r="N211" s="2611">
        <f t="shared" si="248"/>
        <v>0</v>
      </c>
      <c r="O211" s="2611"/>
      <c r="P211" s="2611"/>
      <c r="Q211" s="2611"/>
      <c r="R211" s="2611"/>
      <c r="S211" s="2611"/>
      <c r="T211" s="2611"/>
      <c r="U211" s="2611"/>
      <c r="V211" s="2611"/>
      <c r="W211" s="2611"/>
      <c r="X211" s="2651"/>
      <c r="Y211" s="4556"/>
    </row>
    <row r="212" spans="1:25" ht="13.5" hidden="1" customHeight="1">
      <c r="A212" s="4554"/>
      <c r="B212" s="510" t="s">
        <v>28</v>
      </c>
      <c r="C212" s="4560"/>
      <c r="D212" s="2107">
        <f>M212+N212+O212+P212+Q212+R212</f>
        <v>0</v>
      </c>
      <c r="E212" s="2635">
        <v>0</v>
      </c>
      <c r="F212" s="2635"/>
      <c r="G212" s="2635"/>
      <c r="H212" s="2635"/>
      <c r="I212" s="2633">
        <v>0</v>
      </c>
      <c r="J212" s="2633">
        <v>0</v>
      </c>
      <c r="K212" s="2633">
        <v>0</v>
      </c>
      <c r="L212" s="2613"/>
      <c r="M212" s="2613">
        <f t="shared" ref="M212" si="249">E212+I212+J212+K212+L212</f>
        <v>0</v>
      </c>
      <c r="N212" s="2613"/>
      <c r="O212" s="2691"/>
      <c r="P212" s="2613"/>
      <c r="Q212" s="2613"/>
      <c r="R212" s="2613"/>
      <c r="S212" s="2613"/>
      <c r="T212" s="2613"/>
      <c r="U212" s="2613"/>
      <c r="V212" s="2613"/>
      <c r="W212" s="2613"/>
      <c r="X212" s="2615"/>
      <c r="Y212" s="4556"/>
    </row>
    <row r="213" spans="1:25" ht="13.5" hidden="1" customHeight="1">
      <c r="A213" s="4554"/>
      <c r="B213" s="381" t="s">
        <v>34</v>
      </c>
      <c r="C213" s="2658"/>
      <c r="D213" s="2648">
        <f>+D214</f>
        <v>0</v>
      </c>
      <c r="E213" s="2647">
        <f t="shared" ref="E213:N214" si="250">+E214</f>
        <v>0</v>
      </c>
      <c r="F213" s="2647">
        <f t="shared" si="250"/>
        <v>0</v>
      </c>
      <c r="G213" s="2647">
        <f t="shared" si="250"/>
        <v>0</v>
      </c>
      <c r="H213" s="2647">
        <f t="shared" si="250"/>
        <v>0</v>
      </c>
      <c r="I213" s="2647">
        <f t="shared" si="250"/>
        <v>0</v>
      </c>
      <c r="J213" s="2647">
        <f t="shared" si="250"/>
        <v>0</v>
      </c>
      <c r="K213" s="2647">
        <f t="shared" si="250"/>
        <v>0</v>
      </c>
      <c r="L213" s="2648">
        <f t="shared" si="250"/>
        <v>0</v>
      </c>
      <c r="M213" s="2648">
        <f t="shared" si="250"/>
        <v>0</v>
      </c>
      <c r="N213" s="2648">
        <f t="shared" si="250"/>
        <v>0</v>
      </c>
      <c r="O213" s="2648"/>
      <c r="P213" s="2627"/>
      <c r="Q213" s="2627"/>
      <c r="R213" s="2627"/>
      <c r="S213" s="2627"/>
      <c r="T213" s="2627"/>
      <c r="U213" s="2627"/>
      <c r="V213" s="2627"/>
      <c r="W213" s="2627"/>
      <c r="X213" s="2685"/>
      <c r="Y213" s="4556"/>
    </row>
    <row r="214" spans="1:25" ht="13.5" hidden="1" customHeight="1">
      <c r="A214" s="4554"/>
      <c r="B214" s="2609" t="s">
        <v>23</v>
      </c>
      <c r="C214" s="4558" t="s">
        <v>248</v>
      </c>
      <c r="D214" s="2611">
        <f>+D215</f>
        <v>0</v>
      </c>
      <c r="E214" s="2636">
        <f t="shared" si="250"/>
        <v>0</v>
      </c>
      <c r="F214" s="2636">
        <f t="shared" si="250"/>
        <v>0</v>
      </c>
      <c r="G214" s="2636">
        <f t="shared" si="250"/>
        <v>0</v>
      </c>
      <c r="H214" s="2636">
        <f t="shared" si="250"/>
        <v>0</v>
      </c>
      <c r="I214" s="2636">
        <f t="shared" si="250"/>
        <v>0</v>
      </c>
      <c r="J214" s="2636">
        <f t="shared" si="250"/>
        <v>0</v>
      </c>
      <c r="K214" s="2636">
        <f t="shared" si="250"/>
        <v>0</v>
      </c>
      <c r="L214" s="2611">
        <f t="shared" si="250"/>
        <v>0</v>
      </c>
      <c r="M214" s="2611">
        <f t="shared" si="250"/>
        <v>0</v>
      </c>
      <c r="N214" s="2611">
        <f t="shared" si="250"/>
        <v>0</v>
      </c>
      <c r="O214" s="2611"/>
      <c r="P214" s="2611"/>
      <c r="Q214" s="2611"/>
      <c r="R214" s="2611"/>
      <c r="S214" s="2611"/>
      <c r="T214" s="2611"/>
      <c r="U214" s="2611"/>
      <c r="V214" s="2611"/>
      <c r="W214" s="2611"/>
      <c r="X214" s="2685"/>
      <c r="Y214" s="4556"/>
    </row>
    <row r="215" spans="1:25" ht="14.25" hidden="1" customHeight="1" thickBot="1">
      <c r="A215" s="4554"/>
      <c r="B215" s="510" t="s">
        <v>28</v>
      </c>
      <c r="C215" s="4559"/>
      <c r="D215" s="2107">
        <f>M215+N215+O215+P215+Q215+R215</f>
        <v>0</v>
      </c>
      <c r="E215" s="2692">
        <v>0</v>
      </c>
      <c r="F215" s="2692"/>
      <c r="G215" s="2692"/>
      <c r="H215" s="2692"/>
      <c r="I215" s="2633">
        <v>0</v>
      </c>
      <c r="J215" s="2633">
        <v>0</v>
      </c>
      <c r="K215" s="2633">
        <v>0</v>
      </c>
      <c r="L215" s="1701"/>
      <c r="M215" s="2613"/>
      <c r="N215" s="1701"/>
      <c r="O215" s="2614"/>
      <c r="P215" s="2614"/>
      <c r="Q215" s="2614"/>
      <c r="R215" s="2614"/>
      <c r="S215" s="2614"/>
      <c r="T215" s="2614"/>
      <c r="U215" s="2614"/>
      <c r="V215" s="2614"/>
      <c r="W215" s="2614"/>
      <c r="X215" s="2685"/>
      <c r="Y215" s="4556"/>
    </row>
    <row r="216" spans="1:25" ht="29.25" hidden="1" customHeight="1">
      <c r="A216" s="4554" t="s">
        <v>79</v>
      </c>
      <c r="B216" s="2600"/>
      <c r="C216" s="2644" t="s">
        <v>98</v>
      </c>
      <c r="D216" s="2644"/>
      <c r="E216" s="2625"/>
      <c r="F216" s="2625"/>
      <c r="G216" s="2625"/>
      <c r="H216" s="2625"/>
      <c r="I216" s="2601"/>
      <c r="J216" s="2601"/>
      <c r="K216" s="2601"/>
      <c r="L216" s="2601"/>
      <c r="M216" s="2601"/>
      <c r="N216" s="2601"/>
      <c r="O216" s="2645"/>
      <c r="P216" s="2645"/>
      <c r="Q216" s="2645"/>
      <c r="R216" s="2645"/>
      <c r="S216" s="2645"/>
      <c r="T216" s="2645"/>
      <c r="U216" s="2645"/>
      <c r="V216" s="2645"/>
      <c r="W216" s="2645"/>
      <c r="X216" s="2626"/>
      <c r="Y216" s="4556" t="s">
        <v>247</v>
      </c>
    </row>
    <row r="217" spans="1:25" ht="12.75" hidden="1" customHeight="1">
      <c r="A217" s="4554"/>
      <c r="B217" s="381" t="s">
        <v>22</v>
      </c>
      <c r="C217" s="2658"/>
      <c r="D217" s="2648">
        <f>+D218</f>
        <v>0</v>
      </c>
      <c r="E217" s="2647">
        <f t="shared" ref="E217:O217" si="251">+E218</f>
        <v>0</v>
      </c>
      <c r="F217" s="2647">
        <f t="shared" si="251"/>
        <v>0</v>
      </c>
      <c r="G217" s="2647">
        <f t="shared" si="251"/>
        <v>0</v>
      </c>
      <c r="H217" s="2647">
        <f t="shared" si="251"/>
        <v>0</v>
      </c>
      <c r="I217" s="2647">
        <f t="shared" si="251"/>
        <v>0</v>
      </c>
      <c r="J217" s="2647">
        <f t="shared" si="251"/>
        <v>0</v>
      </c>
      <c r="K217" s="2648">
        <f t="shared" si="251"/>
        <v>0</v>
      </c>
      <c r="L217" s="2647">
        <f t="shared" si="251"/>
        <v>0</v>
      </c>
      <c r="M217" s="2648">
        <f t="shared" si="251"/>
        <v>0</v>
      </c>
      <c r="N217" s="2648">
        <f t="shared" si="251"/>
        <v>0</v>
      </c>
      <c r="O217" s="2648">
        <f t="shared" si="251"/>
        <v>0</v>
      </c>
      <c r="P217" s="2627"/>
      <c r="Q217" s="2627"/>
      <c r="R217" s="2627"/>
      <c r="S217" s="2627"/>
      <c r="T217" s="2627"/>
      <c r="U217" s="2627"/>
      <c r="V217" s="2627"/>
      <c r="W217" s="2627"/>
      <c r="X217" s="2650">
        <f>+X218</f>
        <v>0</v>
      </c>
      <c r="Y217" s="4556"/>
    </row>
    <row r="218" spans="1:25" ht="13.5" hidden="1" customHeight="1">
      <c r="A218" s="4554"/>
      <c r="B218" s="2609" t="s">
        <v>23</v>
      </c>
      <c r="C218" s="4558" t="s">
        <v>248</v>
      </c>
      <c r="D218" s="1694">
        <f>+D220+D219</f>
        <v>0</v>
      </c>
      <c r="E218" s="2636">
        <f t="shared" ref="E218:O218" si="252">+E220+E219</f>
        <v>0</v>
      </c>
      <c r="F218" s="2636">
        <f t="shared" si="252"/>
        <v>0</v>
      </c>
      <c r="G218" s="2636">
        <f t="shared" si="252"/>
        <v>0</v>
      </c>
      <c r="H218" s="2636">
        <f t="shared" si="252"/>
        <v>0</v>
      </c>
      <c r="I218" s="2636">
        <f t="shared" si="252"/>
        <v>0</v>
      </c>
      <c r="J218" s="2636">
        <f t="shared" si="252"/>
        <v>0</v>
      </c>
      <c r="K218" s="2611">
        <f t="shared" si="252"/>
        <v>0</v>
      </c>
      <c r="L218" s="2636">
        <f t="shared" si="252"/>
        <v>0</v>
      </c>
      <c r="M218" s="2611">
        <f t="shared" ref="M218" si="253">+M220+M219</f>
        <v>0</v>
      </c>
      <c r="N218" s="1694">
        <f t="shared" si="252"/>
        <v>0</v>
      </c>
      <c r="O218" s="1694">
        <f t="shared" si="252"/>
        <v>0</v>
      </c>
      <c r="P218" s="2611"/>
      <c r="Q218" s="2611"/>
      <c r="R218" s="2611"/>
      <c r="S218" s="2611"/>
      <c r="T218" s="2611"/>
      <c r="U218" s="2611"/>
      <c r="V218" s="2611"/>
      <c r="W218" s="2611"/>
      <c r="X218" s="2651">
        <f>X220</f>
        <v>0</v>
      </c>
      <c r="Y218" s="4556"/>
    </row>
    <row r="219" spans="1:25" ht="13.5" hidden="1" customHeight="1">
      <c r="A219" s="4554"/>
      <c r="B219" s="510" t="s">
        <v>26</v>
      </c>
      <c r="C219" s="4559"/>
      <c r="D219" s="2107">
        <f t="shared" ref="D219:D220" si="254">M219+O219+P219+Q219+R219+S219+T219</f>
        <v>0</v>
      </c>
      <c r="E219" s="2631"/>
      <c r="F219" s="2631"/>
      <c r="G219" s="2631"/>
      <c r="H219" s="2631"/>
      <c r="I219" s="2636"/>
      <c r="J219" s="2636"/>
      <c r="K219" s="2613"/>
      <c r="L219" s="2633">
        <v>0</v>
      </c>
      <c r="M219" s="2613"/>
      <c r="N219" s="2657">
        <v>0</v>
      </c>
      <c r="O219" s="2657">
        <v>0</v>
      </c>
      <c r="P219" s="2611"/>
      <c r="Q219" s="2611"/>
      <c r="R219" s="2611"/>
      <c r="S219" s="2611"/>
      <c r="T219" s="2611"/>
      <c r="U219" s="2611"/>
      <c r="V219" s="2611"/>
      <c r="W219" s="2611"/>
      <c r="X219" s="2615">
        <f>SUM(P219:T219)</f>
        <v>0</v>
      </c>
      <c r="Y219" s="4556"/>
    </row>
    <row r="220" spans="1:25" ht="13.5" hidden="1" customHeight="1">
      <c r="A220" s="4554"/>
      <c r="B220" s="510" t="s">
        <v>28</v>
      </c>
      <c r="C220" s="4560"/>
      <c r="D220" s="2107">
        <f t="shared" si="254"/>
        <v>0</v>
      </c>
      <c r="E220" s="2635">
        <v>0</v>
      </c>
      <c r="F220" s="2635"/>
      <c r="G220" s="2635"/>
      <c r="H220" s="2635"/>
      <c r="I220" s="2633">
        <v>0</v>
      </c>
      <c r="J220" s="2633">
        <v>0</v>
      </c>
      <c r="K220" s="2613"/>
      <c r="L220" s="2633">
        <v>0</v>
      </c>
      <c r="M220" s="2613"/>
      <c r="N220" s="1700"/>
      <c r="O220" s="1700"/>
      <c r="P220" s="2613"/>
      <c r="Q220" s="2613"/>
      <c r="R220" s="2613"/>
      <c r="S220" s="2613"/>
      <c r="T220" s="2613"/>
      <c r="U220" s="2613"/>
      <c r="V220" s="2613"/>
      <c r="W220" s="2613"/>
      <c r="X220" s="2615">
        <f>SUM(P220:T220)</f>
        <v>0</v>
      </c>
      <c r="Y220" s="4556"/>
    </row>
    <row r="221" spans="1:25" ht="12.75" hidden="1" customHeight="1">
      <c r="A221" s="4554"/>
      <c r="B221" s="381" t="s">
        <v>34</v>
      </c>
      <c r="C221" s="2658"/>
      <c r="D221" s="2648">
        <f>+D222</f>
        <v>0</v>
      </c>
      <c r="E221" s="2647">
        <f t="shared" ref="E221:O221" si="255">+E222</f>
        <v>0</v>
      </c>
      <c r="F221" s="2647">
        <f t="shared" si="255"/>
        <v>0</v>
      </c>
      <c r="G221" s="2647">
        <f t="shared" si="255"/>
        <v>0</v>
      </c>
      <c r="H221" s="2647">
        <f t="shared" si="255"/>
        <v>0</v>
      </c>
      <c r="I221" s="2647">
        <f t="shared" si="255"/>
        <v>0</v>
      </c>
      <c r="J221" s="2647">
        <f t="shared" si="255"/>
        <v>0</v>
      </c>
      <c r="K221" s="2648">
        <f t="shared" si="255"/>
        <v>0</v>
      </c>
      <c r="L221" s="2647">
        <f t="shared" si="255"/>
        <v>0</v>
      </c>
      <c r="M221" s="2648">
        <f t="shared" si="255"/>
        <v>0</v>
      </c>
      <c r="N221" s="2648">
        <f t="shared" si="255"/>
        <v>0</v>
      </c>
      <c r="O221" s="2648">
        <f t="shared" si="255"/>
        <v>0</v>
      </c>
      <c r="P221" s="2648"/>
      <c r="Q221" s="2627"/>
      <c r="R221" s="2627"/>
      <c r="S221" s="2627"/>
      <c r="T221" s="2627"/>
      <c r="U221" s="2627"/>
      <c r="V221" s="2627"/>
      <c r="W221" s="2627"/>
      <c r="X221" s="4561" t="s">
        <v>77</v>
      </c>
      <c r="Y221" s="4556"/>
    </row>
    <row r="222" spans="1:25" ht="13.5" hidden="1" customHeight="1">
      <c r="A222" s="4554"/>
      <c r="B222" s="2609" t="s">
        <v>23</v>
      </c>
      <c r="C222" s="4558" t="s">
        <v>248</v>
      </c>
      <c r="D222" s="1694">
        <f>+D224+D223</f>
        <v>0</v>
      </c>
      <c r="E222" s="2636">
        <f t="shared" ref="E222:J222" si="256">+E224</f>
        <v>0</v>
      </c>
      <c r="F222" s="2636">
        <f t="shared" si="256"/>
        <v>0</v>
      </c>
      <c r="G222" s="2636">
        <f t="shared" si="256"/>
        <v>0</v>
      </c>
      <c r="H222" s="2636">
        <f t="shared" si="256"/>
        <v>0</v>
      </c>
      <c r="I222" s="2636">
        <f t="shared" si="256"/>
        <v>0</v>
      </c>
      <c r="J222" s="2636">
        <f t="shared" si="256"/>
        <v>0</v>
      </c>
      <c r="K222" s="2611">
        <f>+K224+K223</f>
        <v>0</v>
      </c>
      <c r="L222" s="2636">
        <f>+L224</f>
        <v>0</v>
      </c>
      <c r="M222" s="2611">
        <f>+M224+M223</f>
        <v>0</v>
      </c>
      <c r="N222" s="1694">
        <f>+N224</f>
        <v>0</v>
      </c>
      <c r="O222" s="1694">
        <f>+O224</f>
        <v>0</v>
      </c>
      <c r="P222" s="2611"/>
      <c r="Q222" s="2611"/>
      <c r="R222" s="2611"/>
      <c r="S222" s="2611"/>
      <c r="T222" s="2611"/>
      <c r="U222" s="2611"/>
      <c r="V222" s="2611"/>
      <c r="W222" s="2611"/>
      <c r="X222" s="4561"/>
      <c r="Y222" s="4556"/>
    </row>
    <row r="223" spans="1:25" ht="13.5" hidden="1" customHeight="1">
      <c r="A223" s="4554"/>
      <c r="B223" s="510" t="s">
        <v>26</v>
      </c>
      <c r="C223" s="4559"/>
      <c r="D223" s="2107">
        <f t="shared" ref="D223:D224" si="257">M223+O223+P223+Q223+R223+S223+T223</f>
        <v>0</v>
      </c>
      <c r="E223" s="2636"/>
      <c r="F223" s="2692"/>
      <c r="G223" s="2692"/>
      <c r="H223" s="2692"/>
      <c r="I223" s="2636"/>
      <c r="J223" s="2636"/>
      <c r="K223" s="2613"/>
      <c r="L223" s="2636">
        <v>0</v>
      </c>
      <c r="M223" s="2613"/>
      <c r="N223" s="2657">
        <v>0</v>
      </c>
      <c r="O223" s="2657">
        <v>0</v>
      </c>
      <c r="P223" s="2611"/>
      <c r="Q223" s="2611"/>
      <c r="R223" s="2611"/>
      <c r="S223" s="2611"/>
      <c r="T223" s="2611"/>
      <c r="U223" s="2611"/>
      <c r="V223" s="2611"/>
      <c r="W223" s="2611"/>
      <c r="X223" s="4561"/>
      <c r="Y223" s="4556"/>
    </row>
    <row r="224" spans="1:25" ht="12.75" hidden="1">
      <c r="A224" s="4555"/>
      <c r="B224" s="510" t="s">
        <v>28</v>
      </c>
      <c r="C224" s="4559"/>
      <c r="D224" s="2107">
        <f t="shared" si="257"/>
        <v>0</v>
      </c>
      <c r="E224" s="2636">
        <v>0</v>
      </c>
      <c r="F224" s="2692"/>
      <c r="G224" s="2692"/>
      <c r="H224" s="2692"/>
      <c r="I224" s="2633">
        <v>0</v>
      </c>
      <c r="J224" s="2633">
        <v>0</v>
      </c>
      <c r="K224" s="1701"/>
      <c r="L224" s="2633">
        <v>0</v>
      </c>
      <c r="M224" s="2613"/>
      <c r="N224" s="1700"/>
      <c r="O224" s="1700"/>
      <c r="P224" s="2611"/>
      <c r="Q224" s="2611"/>
      <c r="R224" s="2614"/>
      <c r="S224" s="2614"/>
      <c r="T224" s="2614"/>
      <c r="U224" s="2614"/>
      <c r="V224" s="2614"/>
      <c r="W224" s="2614"/>
      <c r="X224" s="4561"/>
      <c r="Y224" s="4557"/>
    </row>
    <row r="225" spans="14:14">
      <c r="N225" s="1991"/>
    </row>
    <row r="226" spans="14:14">
      <c r="N226" s="1991"/>
    </row>
    <row r="227" spans="14:14">
      <c r="N227" s="1991"/>
    </row>
    <row r="228" spans="14:14">
      <c r="N228" s="1991"/>
    </row>
    <row r="229" spans="14:14">
      <c r="N229" s="1991"/>
    </row>
    <row r="230" spans="14:14">
      <c r="N230" s="1991"/>
    </row>
    <row r="231" spans="14:14">
      <c r="N231" s="1991"/>
    </row>
    <row r="232" spans="14:14">
      <c r="N232" s="1991"/>
    </row>
    <row r="233" spans="14:14">
      <c r="N233" s="1991"/>
    </row>
    <row r="234" spans="14:14">
      <c r="N234" s="1991"/>
    </row>
    <row r="235" spans="14:14">
      <c r="N235" s="1991"/>
    </row>
    <row r="236" spans="14:14">
      <c r="N236" s="1991"/>
    </row>
    <row r="237" spans="14:14">
      <c r="N237" s="1991"/>
    </row>
    <row r="238" spans="14:14">
      <c r="N238" s="1991"/>
    </row>
    <row r="239" spans="14:14">
      <c r="N239" s="1991"/>
    </row>
    <row r="240" spans="14:14">
      <c r="N240" s="1991"/>
    </row>
    <row r="241" spans="14:14">
      <c r="N241" s="1991"/>
    </row>
    <row r="242" spans="14:14">
      <c r="N242" s="1991"/>
    </row>
    <row r="243" spans="14:14">
      <c r="N243" s="1991"/>
    </row>
    <row r="244" spans="14:14">
      <c r="N244" s="1991"/>
    </row>
    <row r="245" spans="14:14">
      <c r="N245" s="1991"/>
    </row>
    <row r="246" spans="14:14">
      <c r="N246" s="1991"/>
    </row>
    <row r="247" spans="14:14">
      <c r="N247" s="1991"/>
    </row>
    <row r="248" spans="14:14">
      <c r="N248" s="1991"/>
    </row>
    <row r="249" spans="14:14">
      <c r="N249" s="1991"/>
    </row>
    <row r="250" spans="14:14">
      <c r="N250" s="1991"/>
    </row>
    <row r="251" spans="14:14">
      <c r="N251" s="1991"/>
    </row>
    <row r="252" spans="14:14">
      <c r="N252" s="1991"/>
    </row>
    <row r="253" spans="14:14">
      <c r="N253" s="1991"/>
    </row>
    <row r="254" spans="14:14">
      <c r="N254" s="1991"/>
    </row>
    <row r="255" spans="14:14">
      <c r="N255" s="1991"/>
    </row>
    <row r="256" spans="14:14">
      <c r="N256" s="1991"/>
    </row>
  </sheetData>
  <mergeCells count="79">
    <mergeCell ref="Y34:Y52"/>
    <mergeCell ref="P1:R1"/>
    <mergeCell ref="A4:Y4"/>
    <mergeCell ref="B5:B7"/>
    <mergeCell ref="C5:C7"/>
    <mergeCell ref="D5:D7"/>
    <mergeCell ref="Y5:Y7"/>
    <mergeCell ref="E5:K5"/>
    <mergeCell ref="X5:X7"/>
    <mergeCell ref="M5:M6"/>
    <mergeCell ref="O5:O6"/>
    <mergeCell ref="P5:W6"/>
    <mergeCell ref="A34:A52"/>
    <mergeCell ref="C36:C43"/>
    <mergeCell ref="C45:C52"/>
    <mergeCell ref="X23:X33"/>
    <mergeCell ref="X44:X51"/>
    <mergeCell ref="A53:A66"/>
    <mergeCell ref="C55:C59"/>
    <mergeCell ref="C62:C66"/>
    <mergeCell ref="X61:X66"/>
    <mergeCell ref="Y53:Y67"/>
    <mergeCell ref="A68:A78"/>
    <mergeCell ref="Y68:Y78"/>
    <mergeCell ref="C70:C73"/>
    <mergeCell ref="C75:C78"/>
    <mergeCell ref="X74:X78"/>
    <mergeCell ref="A81:A91"/>
    <mergeCell ref="Y81:Y91"/>
    <mergeCell ref="C83:C86"/>
    <mergeCell ref="C88:C91"/>
    <mergeCell ref="X87:X91"/>
    <mergeCell ref="A92:A104"/>
    <mergeCell ref="Y92:Y104"/>
    <mergeCell ref="C94:C98"/>
    <mergeCell ref="C100:C104"/>
    <mergeCell ref="X99:X104"/>
    <mergeCell ref="A105:A119"/>
    <mergeCell ref="Y105:Y119"/>
    <mergeCell ref="C107:C112"/>
    <mergeCell ref="C114:C119"/>
    <mergeCell ref="X113:X119"/>
    <mergeCell ref="A120:A131"/>
    <mergeCell ref="Y120:Y131"/>
    <mergeCell ref="C122:C126"/>
    <mergeCell ref="C128:C131"/>
    <mergeCell ref="X127:X131"/>
    <mergeCell ref="A132:A138"/>
    <mergeCell ref="Y132:Y138"/>
    <mergeCell ref="C134:C135"/>
    <mergeCell ref="C137:C138"/>
    <mergeCell ref="X136:X138"/>
    <mergeCell ref="A139:A151"/>
    <mergeCell ref="Y139:Y151"/>
    <mergeCell ref="C141:C145"/>
    <mergeCell ref="C147:C151"/>
    <mergeCell ref="X146:X151"/>
    <mergeCell ref="A166:A179"/>
    <mergeCell ref="Y166:Y179"/>
    <mergeCell ref="C168:C172"/>
    <mergeCell ref="C174:C179"/>
    <mergeCell ref="A153:A165"/>
    <mergeCell ref="Y153:Y165"/>
    <mergeCell ref="C155:C159"/>
    <mergeCell ref="C161:C165"/>
    <mergeCell ref="X160:X165"/>
    <mergeCell ref="A209:A215"/>
    <mergeCell ref="Y209:Y215"/>
    <mergeCell ref="C211:C212"/>
    <mergeCell ref="C214:C215"/>
    <mergeCell ref="A197:A208"/>
    <mergeCell ref="Y197:Y208"/>
    <mergeCell ref="C199:C204"/>
    <mergeCell ref="C206:C208"/>
    <mergeCell ref="A216:A224"/>
    <mergeCell ref="Y216:Y224"/>
    <mergeCell ref="C218:C220"/>
    <mergeCell ref="C222:C224"/>
    <mergeCell ref="X221:X224"/>
  </mergeCells>
  <printOptions horizontalCentered="1"/>
  <pageMargins left="0.23622047244094491" right="0.23622047244094491" top="0.51181102362204722" bottom="0.35433070866141736" header="0.15748031496062992" footer="0.15748031496062992"/>
  <pageSetup paperSize="9" scale="68" firstPageNumber="53" orientation="landscape" useFirstPageNumber="1" r:id="rId1"/>
  <headerFooter alignWithMargins="0">
    <oddHeader>&amp;C&amp;"Arial,Kursywa"Wieloletnia prognoza finansowa Województwa Zachodniopomorskiego na lata 2016 - 2038&amp;"Arial,Normalny"
____________________________________________________________________________________________________________________________</oddHeader>
    <oddFooter>&amp;C&amp;8&amp;P</oddFooter>
  </headerFooter>
  <rowBreaks count="2" manualBreakCount="2">
    <brk id="52" max="24" man="1"/>
    <brk id="91" max="24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12</vt:i4>
      </vt:variant>
      <vt:variant>
        <vt:lpstr>Zakresy nazwane</vt:lpstr>
      </vt:variant>
      <vt:variant>
        <vt:i4>20</vt:i4>
      </vt:variant>
    </vt:vector>
  </HeadingPairs>
  <TitlesOfParts>
    <vt:vector size="32" baseType="lpstr">
      <vt:lpstr>Wyłączenia WPF</vt:lpstr>
      <vt:lpstr>Tabela nr 6</vt:lpstr>
      <vt:lpstr>Tab. 6A -Drogi</vt:lpstr>
      <vt:lpstr>Tab. 6B Polit społ i rozwój prz</vt:lpstr>
      <vt:lpstr>Tab. 6C - Ochrona zdrowia</vt:lpstr>
      <vt:lpstr>Tab. 6D - Oświata</vt:lpstr>
      <vt:lpstr>Tab. 6E - Administracja</vt:lpstr>
      <vt:lpstr>Tab. 6F - Kultura</vt:lpstr>
      <vt:lpstr>Tab. 6G - Roln i ochrona środ.</vt:lpstr>
      <vt:lpstr>Tab. 6H - Kultura fiz. i turyst</vt:lpstr>
      <vt:lpstr>Tab.6I - Planow. przestrz.</vt:lpstr>
      <vt:lpstr>projekty UE</vt:lpstr>
      <vt:lpstr>'Tab. 6A -Drogi'!Obszar_wydruku</vt:lpstr>
      <vt:lpstr>'Tab. 6B Polit społ i rozwój prz'!Obszar_wydruku</vt:lpstr>
      <vt:lpstr>'Tab. 6C - Ochrona zdrowia'!Obszar_wydruku</vt:lpstr>
      <vt:lpstr>'Tab. 6D - Oświata'!Obszar_wydruku</vt:lpstr>
      <vt:lpstr>'Tab. 6E - Administracja'!Obszar_wydruku</vt:lpstr>
      <vt:lpstr>'Tab. 6F - Kultura'!Obszar_wydruku</vt:lpstr>
      <vt:lpstr>'Tab. 6G - Roln i ochrona środ.'!Obszar_wydruku</vt:lpstr>
      <vt:lpstr>'Tab. 6H - Kultura fiz. i turyst'!Obszar_wydruku</vt:lpstr>
      <vt:lpstr>'Tabela nr 6'!Obszar_wydruku</vt:lpstr>
      <vt:lpstr>'Wyłączenia WPF'!Obszar_wydruku</vt:lpstr>
      <vt:lpstr>'Tab. 6A -Drogi'!Tytuły_wydruku</vt:lpstr>
      <vt:lpstr>'Tab. 6B Polit społ i rozwój prz'!Tytuły_wydruku</vt:lpstr>
      <vt:lpstr>'Tab. 6C - Ochrona zdrowia'!Tytuły_wydruku</vt:lpstr>
      <vt:lpstr>'Tab. 6D - Oświata'!Tytuły_wydruku</vt:lpstr>
      <vt:lpstr>'Tab. 6E - Administracja'!Tytuły_wydruku</vt:lpstr>
      <vt:lpstr>'Tab. 6F - Kultura'!Tytuły_wydruku</vt:lpstr>
      <vt:lpstr>'Tab. 6G - Roln i ochrona środ.'!Tytuły_wydruku</vt:lpstr>
      <vt:lpstr>'Tab. 6H - Kultura fiz. i turyst'!Tytuły_wydruku</vt:lpstr>
      <vt:lpstr>'Tab.6I - Planow. przestrz.'!Tytuły_wydruku</vt:lpstr>
      <vt:lpstr>'Wyłączenia WPF'!Tytuły_wydruku</vt:lpstr>
    </vt:vector>
  </TitlesOfParts>
  <Company>Urząd Marszałkowski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Magdalena Nowocień</dc:creator>
  <cp:lastModifiedBy> Województwa Zachodniopomorskiego</cp:lastModifiedBy>
  <cp:lastPrinted>2016-04-22T08:12:25Z</cp:lastPrinted>
  <dcterms:created xsi:type="dcterms:W3CDTF">2015-01-20T07:24:04Z</dcterms:created>
  <dcterms:modified xsi:type="dcterms:W3CDTF">2016-04-22T08:12:45Z</dcterms:modified>
</cp:coreProperties>
</file>